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6390" activeTab="0"/>
  </bookViews>
  <sheets>
    <sheet name="EITC CTC TANF 1975-2010" sheetId="1" r:id="rId1"/>
    <sheet name="EITC &amp; TANF" sheetId="2" r:id="rId2"/>
  </sheets>
  <externalReferences>
    <externalReference r:id="rId5"/>
  </externalReferences>
  <definedNames>
    <definedName name="GDP">#REF!</definedName>
    <definedName name="gdp2">'[1]Expanded 2003 Baseline'!$D$31:$N$31</definedName>
    <definedName name="GDPv1">'[1]Expanded 2003 Baseline'!$D$31:$N$31</definedName>
    <definedName name="_xlnm.Print_Area" localSheetId="1">'EITC &amp; TANF'!$A$1:$T$36</definedName>
  </definedNames>
  <calcPr fullCalcOnLoad="1"/>
</workbook>
</file>

<file path=xl/sharedStrings.xml><?xml version="1.0" encoding="utf-8"?>
<sst xmlns="http://schemas.openxmlformats.org/spreadsheetml/2006/main" count="25" uniqueCount="23">
  <si>
    <t>EITC</t>
  </si>
  <si>
    <t>AFDC/TANF</t>
  </si>
  <si>
    <t>Federal Spending on EITC, Child Tax Credit, and AFDC/TANF</t>
  </si>
  <si>
    <t>EITC / CTC</t>
  </si>
  <si>
    <t>http://www.irs.gov/uac/SOI-Tax-Stats-Individual-Income-Tax-Returns-Publication-1304-(Complete-Report)</t>
  </si>
  <si>
    <t>CTC numbers include Additional Child Tax Credit in applicable years.</t>
  </si>
  <si>
    <t>Table A. All Returns: Selected Income and Tax Items in Current and Constant 1990 Dollars, Tax Years 1990 - 2011</t>
  </si>
  <si>
    <t>http://www.whitehouse.gov/sites/default/files/omb/budget/fy2014/assets/hist.pdf</t>
  </si>
  <si>
    <t>ACTC + CTC</t>
  </si>
  <si>
    <t>CTC+ACTC</t>
  </si>
  <si>
    <t>Sources: AFDC/TANF: Budget of the United States Government, Fiscal Year 2014 for AFDC/TANF, "Family and Other Support Assistance" line; EITC and CTC: Internal Revenue Service Statistics of Income, various years; CPI deflator: Bureau of Labor Statistics.</t>
  </si>
  <si>
    <t>EITC (millions) - TY, from IRS</t>
  </si>
  <si>
    <t>CTC (millions) - TY, from IRS</t>
  </si>
  <si>
    <t>ACTC (millions) TY</t>
  </si>
  <si>
    <t>(millions) TY</t>
  </si>
  <si>
    <t>EITC (millions) - FY convert</t>
  </si>
  <si>
    <t>CTC (millions) - FY, convert</t>
  </si>
  <si>
    <t>ACTC (millions) FY</t>
  </si>
  <si>
    <t>(millions) FY</t>
  </si>
  <si>
    <t>Real 2011 Dollars (billions) FY</t>
  </si>
  <si>
    <t>We assume a 20-80 split. So fiscal 2011 would be 80 percent of calendar 2010 plus 20 percent of calendar 2011.</t>
  </si>
  <si>
    <t>TANF</t>
  </si>
  <si>
    <t>CPI Deflator ($2011)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</si>
</sst>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#,##0.0"/>
    <numFmt numFmtId="168" formatCode="&quot;$&quot;#,##0"/>
    <numFmt numFmtId="169" formatCode="_(* #,##0_);_(* \(#,##0\);_(* &quot;-&quot;??_);_(@_)"/>
    <numFmt numFmtId="170" formatCode="#,##0&quot;    &quot;;#,##0&quot;    &quot;;&quot;--    &quot;;@&quot;    &quot;"/>
    <numFmt numFmtId="171" formatCode="mmmm\ d\,\ yyyy"/>
    <numFmt numFmtId="172" formatCode="_(* #,##0.0000_);_(* \(#,##0.0000\);_(* &quot;-&quot;??_);_(@_)"/>
    <numFmt numFmtId="173" formatCode="&quot;$&quot;#,##0.00"/>
    <numFmt numFmtId="174" formatCode="_(* #,##0.0_);_(* \(#,##0.0\);_(* &quot;-&quot;?_);_(@_)"/>
    <numFmt numFmtId="175" formatCode="&quot;$&quot;#,##0.0"/>
    <numFmt numFmtId="176" formatCode="0.000000000000%"/>
    <numFmt numFmtId="177" formatCode="0.0000"/>
    <numFmt numFmtId="178" formatCode="0.000"/>
    <numFmt numFmtId="179" formatCode="#,##0&quot;    &quot;;;;@&quot;    &quot;"/>
    <numFmt numFmtId="180" formatCode="#,##0&quot;   &quot;;\-#,##0&quot;   &quot;;;@&quot;   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%"/>
    <numFmt numFmtId="185" formatCode="0.00000"/>
    <numFmt numFmtId="186" formatCode="0.0000000"/>
    <numFmt numFmtId="187" formatCode="0.000000"/>
    <numFmt numFmtId="188" formatCode="0.00000000"/>
    <numFmt numFmtId="189" formatCode="_(* #,##0.000_);_(* \(#,##0.000\);_(* &quot;-&quot;??_);_(@_)"/>
    <numFmt numFmtId="190" formatCode="_(* #,##0.000_);_(* \(#,##0.000\);_(* &quot;-&quot;???_);_(@_)"/>
    <numFmt numFmtId="191" formatCode="0.0000000000000000%"/>
    <numFmt numFmtId="192" formatCode="0.000000000000000%"/>
    <numFmt numFmtId="193" formatCode="0.00000000000000%"/>
    <numFmt numFmtId="194" formatCode="0.0000000000000%"/>
    <numFmt numFmtId="195" formatCode="0.00000000000%"/>
    <numFmt numFmtId="196" formatCode="0.0000000000%"/>
    <numFmt numFmtId="197" formatCode="0.000000000%"/>
    <numFmt numFmtId="198" formatCode="0.00000000%"/>
    <numFmt numFmtId="199" formatCode="0.0000000%"/>
    <numFmt numFmtId="200" formatCode="0.000000%"/>
    <numFmt numFmtId="201" formatCode="0.00000%"/>
    <numFmt numFmtId="202" formatCode="0.0000%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&quot;$&quot;#,##0.0_);\(&quot;$&quot;#,##0.0\)"/>
    <numFmt numFmtId="206" formatCode="#,##0.00&quot;                   &quot;;#,##0.00&quot;                   &quot;;&quot;--                   &quot;;@&quot;                   &quot;\ \ "/>
    <numFmt numFmtId="207" formatCode="#,##0.00&quot;             &quot;;#,##0.00&quot;             &quot;;&quot;--             &quot;;@&quot;             &quot;\ \ "/>
    <numFmt numFmtId="208" formatCode="#,##0&quot;                &quot;;#,##0&quot;                &quot;;&quot;--                &quot;;@&quot;                &quot;"/>
    <numFmt numFmtId="209" formatCode="#,##0&quot;                  &quot;;#,##0&quot;                  &quot;;\ \ \ \ \ \ \ \ \ \ \ \ \ \ \ \ \ \ &quot;-                  &quot;;@&quot;                  &quot;"/>
    <numFmt numFmtId="210" formatCode="\ \ \ \ @&quot;......................................................................................................................&quot;"/>
    <numFmt numFmtId="211" formatCode="@*."/>
    <numFmt numFmtId="212" formatCode="@&quot;...........................................................................................................................&quot;"/>
    <numFmt numFmtId="213" formatCode="_(* #,##0.00000_);_(* \(#,##0.00000\);_(* &quot;-&quot;??_);_(@_)"/>
    <numFmt numFmtId="214" formatCode="_(* #,##0.0000_);_(* \(#,##0.0000\);_(* &quot;-&quot;????_);_(@_)"/>
    <numFmt numFmtId="215" formatCode="#,##0;[Red]#,##0"/>
    <numFmt numFmtId="216" formatCode="&quot;$&quot;#,##0;[Red]&quot;$&quot;#,##0"/>
    <numFmt numFmtId="217" formatCode="#,##0&quot;  &quot;;\(#,##0\)&quot;  &quot;;&quot;-  -  &quot;;@&quot;  &quot;"/>
    <numFmt numFmtId="218" formatCode="&quot;$&quot;#,##0.000"/>
    <numFmt numFmtId="219" formatCode="&quot;   &quot;@*."/>
    <numFmt numFmtId="220" formatCode="#,##0&quot;  &quot;;;;@&quot;  &quot;"/>
    <numFmt numFmtId="221" formatCode="\$#,##0"/>
    <numFmt numFmtId="222" formatCode="[$€-2]\ #,##0.00_);[Red]\([$€-2]\ #,##0.00\)"/>
    <numFmt numFmtId="223" formatCode="#0.0"/>
    <numFmt numFmtId="224" formatCode="#0.000"/>
  </numFmts>
  <fonts count="47"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venir LT Pro 55 Roman"/>
      <family val="0"/>
    </font>
    <font>
      <sz val="12"/>
      <color indexed="52"/>
      <name val="Avenir LT Pro 55 Roman"/>
      <family val="0"/>
    </font>
    <font>
      <sz val="12"/>
      <color indexed="56"/>
      <name val="Avenir LT Pro 55 Roman"/>
      <family val="0"/>
    </font>
    <font>
      <sz val="11"/>
      <color indexed="8"/>
      <name val="Avenir LT Pro 55 Roman"/>
      <family val="0"/>
    </font>
    <font>
      <sz val="18"/>
      <color indexed="8"/>
      <name val="Avenir LT Pro 55 Roman"/>
      <family val="0"/>
    </font>
    <font>
      <sz val="9"/>
      <color indexed="8"/>
      <name val="Avenir LT Pro 55 Roman"/>
      <family val="0"/>
    </font>
    <font>
      <sz val="12"/>
      <color indexed="53"/>
      <name val="Avenir LT Pro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10" xfId="42" applyNumberFormat="1" applyFont="1" applyFill="1" applyBorder="1" applyAlignment="1">
      <alignment/>
    </xf>
    <xf numFmtId="175" fontId="4" fillId="0" borderId="10" xfId="0" applyNumberFormat="1" applyFont="1" applyBorder="1" applyAlignment="1">
      <alignment/>
    </xf>
    <xf numFmtId="175" fontId="4" fillId="0" borderId="11" xfId="0" applyNumberFormat="1" applyFont="1" applyBorder="1" applyAlignment="1">
      <alignment/>
    </xf>
    <xf numFmtId="175" fontId="4" fillId="0" borderId="12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72" fontId="0" fillId="0" borderId="11" xfId="42" applyNumberFormat="1" applyFont="1" applyFill="1" applyBorder="1" applyAlignment="1">
      <alignment/>
    </xf>
    <xf numFmtId="172" fontId="0" fillId="0" borderId="12" xfId="42" applyNumberFormat="1" applyFont="1" applyFill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53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5225"/>
          <c:w val="0.9335"/>
          <c:h val="0.8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'EITC &amp; TANF'!$A$41:$A$83</c:f>
              <c:num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'EITC &amp; TANF'!$L$41:$L$83</c:f>
              <c:numCache>
                <c:ptCount val="43"/>
                <c:pt idx="0">
                  <c:v>1.0452555762081785</c:v>
                </c:pt>
                <c:pt idx="1">
                  <c:v>4.977121282952549</c:v>
                </c:pt>
                <c:pt idx="2">
                  <c:v>4.682146115511551</c:v>
                </c:pt>
                <c:pt idx="3">
                  <c:v>3.8336229570552147</c:v>
                </c:pt>
                <c:pt idx="4">
                  <c:v>3.869198666666667</c:v>
                </c:pt>
                <c:pt idx="5">
                  <c:v>5.565602344660195</c:v>
                </c:pt>
                <c:pt idx="6">
                  <c:v>4.877885113311331</c:v>
                </c:pt>
                <c:pt idx="7">
                  <c:v>4.392953776165803</c:v>
                </c:pt>
                <c:pt idx="8">
                  <c:v>4.017735753012048</c:v>
                </c:pt>
                <c:pt idx="9">
                  <c:v>3.818117616939364</c:v>
                </c:pt>
                <c:pt idx="10">
                  <c:v>3.612403271375465</c:v>
                </c:pt>
                <c:pt idx="11">
                  <c:v>4.252906895985402</c:v>
                </c:pt>
                <c:pt idx="12">
                  <c:v>4.525313297535211</c:v>
                </c:pt>
                <c:pt idx="13">
                  <c:v>7.40036</c:v>
                </c:pt>
                <c:pt idx="14">
                  <c:v>10.949087227419355</c:v>
                </c:pt>
                <c:pt idx="15">
                  <c:v>11.665505201224178</c:v>
                </c:pt>
                <c:pt idx="16">
                  <c:v>13.591798694566812</c:v>
                </c:pt>
                <c:pt idx="17">
                  <c:v>18.420948926585886</c:v>
                </c:pt>
                <c:pt idx="18">
                  <c:v>21.061451087889274</c:v>
                </c:pt>
                <c:pt idx="19">
                  <c:v>25.27239752631579</c:v>
                </c:pt>
                <c:pt idx="20">
                  <c:v>32.582502708661416</c:v>
                </c:pt>
                <c:pt idx="21">
                  <c:v>38.03433194518802</c:v>
                </c:pt>
                <c:pt idx="22">
                  <c:v>40.83630899813084</c:v>
                </c:pt>
                <c:pt idx="23">
                  <c:v>42.26866008834356</c:v>
                </c:pt>
                <c:pt idx="24">
                  <c:v>42.73868003481393</c:v>
                </c:pt>
                <c:pt idx="25">
                  <c:v>41.77647573983741</c:v>
                </c:pt>
                <c:pt idx="26">
                  <c:v>41.294278757763976</c:v>
                </c:pt>
                <c:pt idx="27">
                  <c:v>42.937966778210125</c:v>
                </c:pt>
                <c:pt idx="28">
                  <c:v>46.81005039891304</c:v>
                </c:pt>
                <c:pt idx="29">
                  <c:v>46.35767731921651</c:v>
                </c:pt>
                <c:pt idx="30">
                  <c:v>46.64771851920122</c:v>
                </c:pt>
                <c:pt idx="31">
                  <c:v>47.7611550515873</c:v>
                </c:pt>
                <c:pt idx="32">
                  <c:v>49.05606041033654</c:v>
                </c:pt>
                <c:pt idx="33">
                  <c:v>51.15729035916824</c:v>
                </c:pt>
                <c:pt idx="34">
                  <c:v>54.922832131520444</c:v>
                </c:pt>
                <c:pt idx="35">
                  <c:v>61.17553509373739</c:v>
                </c:pt>
                <c:pt idx="36">
                  <c:v>60.2308</c:v>
                </c:pt>
                <c:pt idx="37">
                  <c:v>61.61963800195887</c:v>
                </c:pt>
                <c:pt idx="38">
                  <c:v>63.72110637065637</c:v>
                </c:pt>
                <c:pt idx="39">
                  <c:v>63.611857414448664</c:v>
                </c:pt>
                <c:pt idx="40">
                  <c:v>63.584783870967755</c:v>
                </c:pt>
                <c:pt idx="41">
                  <c:v>61.54002661668229</c:v>
                </c:pt>
              </c:numCache>
            </c:numRef>
          </c:val>
          <c:smooth val="0"/>
        </c:ser>
        <c:ser>
          <c:idx val="2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'EITC &amp; TANF'!$A$41:$A$83</c:f>
              <c:num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'EITC &amp; TANF'!$N$41:$N$83</c:f>
              <c:numCache>
                <c:ptCount val="43"/>
                <c:pt idx="0">
                  <c:v>21.41101522304833</c:v>
                </c:pt>
                <c:pt idx="1">
                  <c:v>23.12246416520211</c:v>
                </c:pt>
                <c:pt idx="2">
                  <c:v>23.574052623762373</c:v>
                </c:pt>
                <c:pt idx="3">
                  <c:v>22.904448174846625</c:v>
                </c:pt>
                <c:pt idx="4">
                  <c:v>20.479983333333333</c:v>
                </c:pt>
                <c:pt idx="5">
                  <c:v>19.949687038834952</c:v>
                </c:pt>
                <c:pt idx="6">
                  <c:v>20.229662541254125</c:v>
                </c:pt>
                <c:pt idx="7">
                  <c:v>18.624483005181347</c:v>
                </c:pt>
                <c:pt idx="8">
                  <c:v>18.950433222891565</c:v>
                </c:pt>
                <c:pt idx="9">
                  <c:v>19.168526525505293</c:v>
                </c:pt>
                <c:pt idx="10">
                  <c:v>19.282874869888477</c:v>
                </c:pt>
                <c:pt idx="11">
                  <c:v>20.27119072080292</c:v>
                </c:pt>
                <c:pt idx="12">
                  <c:v>20.87022059859155</c:v>
                </c:pt>
                <c:pt idx="13">
                  <c:v>20.46697714285714</c:v>
                </c:pt>
                <c:pt idx="14">
                  <c:v>20.255394145161294</c:v>
                </c:pt>
                <c:pt idx="15">
                  <c:v>21.07576889058914</c:v>
                </c:pt>
                <c:pt idx="16">
                  <c:v>22.328746549192363</c:v>
                </c:pt>
                <c:pt idx="17">
                  <c:v>24.21421038488952</c:v>
                </c:pt>
                <c:pt idx="18">
                  <c:v>24.32765876816609</c:v>
                </c:pt>
                <c:pt idx="19">
                  <c:v>25.055958245614036</c:v>
                </c:pt>
                <c:pt idx="20">
                  <c:v>25.287925767716533</c:v>
                </c:pt>
                <c:pt idx="21">
                  <c:v>23.89887272147865</c:v>
                </c:pt>
                <c:pt idx="22">
                  <c:v>21.11903919626168</c:v>
                </c:pt>
                <c:pt idx="23">
                  <c:v>21.32780518404908</c:v>
                </c:pt>
                <c:pt idx="24">
                  <c:v>22.840894735894356</c:v>
                </c:pt>
                <c:pt idx="25">
                  <c:v>23.99610586527294</c:v>
                </c:pt>
                <c:pt idx="26">
                  <c:v>27.76999602484472</c:v>
                </c:pt>
                <c:pt idx="27">
                  <c:v>28.441842317954418</c:v>
                </c:pt>
                <c:pt idx="28">
                  <c:v>28.288524239130435</c:v>
                </c:pt>
                <c:pt idx="29">
                  <c:v>25.64947623080995</c:v>
                </c:pt>
                <c:pt idx="30">
                  <c:v>24.57858812083973</c:v>
                </c:pt>
                <c:pt idx="31">
                  <c:v>23.317337410714284</c:v>
                </c:pt>
                <c:pt idx="32">
                  <c:v>22.90593341435888</c:v>
                </c:pt>
                <c:pt idx="33">
                  <c:v>22.79134189955551</c:v>
                </c:pt>
                <c:pt idx="34">
                  <c:v>23.29001527475447</c:v>
                </c:pt>
                <c:pt idx="35">
                  <c:v>22.628416113291998</c:v>
                </c:pt>
                <c:pt idx="36">
                  <c:v>26.534</c:v>
                </c:pt>
                <c:pt idx="37">
                  <c:v>19.679725759059746</c:v>
                </c:pt>
                <c:pt idx="38">
                  <c:v>20.437258687258687</c:v>
                </c:pt>
                <c:pt idx="39">
                  <c:v>19.370722433460077</c:v>
                </c:pt>
                <c:pt idx="40">
                  <c:v>18.958254269449714</c:v>
                </c:pt>
                <c:pt idx="41">
                  <c:v>18.465791940018747</c:v>
                </c:pt>
              </c:numCache>
            </c:numRef>
          </c:val>
          <c:smooth val="0"/>
        </c:ser>
        <c:ser>
          <c:idx val="3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'EITC &amp; TANF'!$A$41:$A$83</c:f>
              <c:num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'EITC &amp; TANF'!$M$41:$M$83</c:f>
              <c:numCache>
                <c:ptCount val="43"/>
                <c:pt idx="23">
                  <c:v>4.319932795092024</c:v>
                </c:pt>
                <c:pt idx="24">
                  <c:v>22.3640132545018</c:v>
                </c:pt>
                <c:pt idx="25">
                  <c:v>26.52007297212544</c:v>
                </c:pt>
                <c:pt idx="26">
                  <c:v>27.96559515527951</c:v>
                </c:pt>
                <c:pt idx="27">
                  <c:v>34.41579203557532</c:v>
                </c:pt>
                <c:pt idx="28">
                  <c:v>35.121046364130436</c:v>
                </c:pt>
                <c:pt idx="29">
                  <c:v>41.523572690312335</c:v>
                </c:pt>
                <c:pt idx="30">
                  <c:v>54.027284114695334</c:v>
                </c:pt>
                <c:pt idx="31">
                  <c:v>53.14607867162699</c:v>
                </c:pt>
                <c:pt idx="32">
                  <c:v>52.11929776890355</c:v>
                </c:pt>
                <c:pt idx="33">
                  <c:v>50.97341338578654</c:v>
                </c:pt>
                <c:pt idx="34">
                  <c:v>54.474289902441065</c:v>
                </c:pt>
                <c:pt idx="35">
                  <c:v>57.75156359650732</c:v>
                </c:pt>
                <c:pt idx="36">
                  <c:v>56.34120000000001</c:v>
                </c:pt>
                <c:pt idx="37">
                  <c:v>54.54452105778649</c:v>
                </c:pt>
                <c:pt idx="38">
                  <c:v>53.24282104247105</c:v>
                </c:pt>
                <c:pt idx="39">
                  <c:v>51.73862338403042</c:v>
                </c:pt>
                <c:pt idx="40">
                  <c:v>51.04829392789374</c:v>
                </c:pt>
                <c:pt idx="41">
                  <c:v>51.23878013120901</c:v>
                </c:pt>
              </c:numCache>
            </c:numRef>
          </c:val>
          <c:smooth val="0"/>
        </c:ser>
        <c:marker val="1"/>
        <c:axId val="35830201"/>
        <c:axId val="54036354"/>
      </c:lineChart>
      <c:catAx>
        <c:axId val="358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36354"/>
        <c:crosses val="autoZero"/>
        <c:auto val="1"/>
        <c:lblOffset val="100"/>
        <c:tickLblSkip val="2"/>
        <c:noMultiLvlLbl val="0"/>
      </c:catAx>
      <c:valAx>
        <c:axId val="540363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30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8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0.5325</cdr:y>
    </cdr:from>
    <cdr:to>
      <cdr:x>0.49625</cdr:x>
      <cdr:y>0.65325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3400425"/>
          <a:ext cx="34099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9900"/>
              </a:solidFill>
            </a:rPr>
            <a:t>Aid for Families with Dependent Children and Temporary Aid for Needy Families</a:t>
          </a:r>
        </a:p>
      </cdr:txBody>
    </cdr:sp>
  </cdr:relSizeAnchor>
  <cdr:relSizeAnchor xmlns:cdr="http://schemas.openxmlformats.org/drawingml/2006/chartDrawing">
    <cdr:from>
      <cdr:x>0.0035</cdr:x>
      <cdr:y>0.36925</cdr:y>
    </cdr:from>
    <cdr:to>
      <cdr:x>0.0355</cdr:x>
      <cdr:y>0.64625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28575" y="2352675"/>
          <a:ext cx="276225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Billions of 2011</a:t>
          </a:r>
          <a:r>
            <a:rPr lang="en-US" cap="none" sz="11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 Dollars</a:t>
          </a:r>
        </a:p>
      </cdr:txBody>
    </cdr:sp>
  </cdr:relSizeAnchor>
  <cdr:relSizeAnchor xmlns:cdr="http://schemas.openxmlformats.org/drawingml/2006/chartDrawing">
    <cdr:from>
      <cdr:x>0</cdr:x>
      <cdr:y>0.00875</cdr:y>
    </cdr:from>
    <cdr:to>
      <cdr:x>1</cdr:x>
      <cdr:y>0.0995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7625"/>
          <a:ext cx="87630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Real Federal Spending on EITC,</a:t>
          </a:r>
          <a:r>
            <a:rPr lang="en-US" cap="none" sz="18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 CTC and Welfare: FY 1975-2016 </a:t>
          </a:r>
        </a:p>
      </cdr:txBody>
    </cdr:sp>
  </cdr:relSizeAnchor>
  <cdr:relSizeAnchor xmlns:cdr="http://schemas.openxmlformats.org/drawingml/2006/chartDrawing">
    <cdr:from>
      <cdr:x>0.001</cdr:x>
      <cdr:y>0.90525</cdr:y>
    </cdr:from>
    <cdr:to>
      <cdr:x>0.99275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5781675"/>
          <a:ext cx="86868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Sources: AFDC/TANF: Budget of the United States Government; EITC and CTC: Internal Revenue Service Statistics of Income, various years; CPI deflator: Bureau of Labor Statistics.</a:t>
          </a:r>
          <a:r>
            <a:rPr lang="en-US" cap="none" sz="9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 For CTC and EITC, we convert tax year data to fiscal year data by applying a 20-80 split.</a:t>
          </a:r>
        </a:p>
      </cdr:txBody>
    </cdr:sp>
  </cdr:relSizeAnchor>
  <cdr:relSizeAnchor xmlns:cdr="http://schemas.openxmlformats.org/drawingml/2006/chartDrawing">
    <cdr:from>
      <cdr:x>0.123</cdr:x>
      <cdr:y>0.74425</cdr:y>
    </cdr:from>
    <cdr:to>
      <cdr:x>0.39525</cdr:x>
      <cdr:y>0.82825</cdr:y>
    </cdr:to>
    <cdr:sp>
      <cdr:nvSpPr>
        <cdr:cNvPr id="5" name="TextBox 5"/>
        <cdr:cNvSpPr txBox="1">
          <a:spLocks noChangeArrowheads="1"/>
        </cdr:cNvSpPr>
      </cdr:nvSpPr>
      <cdr:spPr>
        <a:xfrm>
          <a:off x="1076325" y="4752975"/>
          <a:ext cx="23812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</a:rPr>
            <a:t>Earned Income Tax Credit</a:t>
          </a:r>
        </a:p>
      </cdr:txBody>
    </cdr:sp>
  </cdr:relSizeAnchor>
  <cdr:relSizeAnchor xmlns:cdr="http://schemas.openxmlformats.org/drawingml/2006/chartDrawing">
    <cdr:from>
      <cdr:x>0.764</cdr:x>
      <cdr:y>0.276</cdr:y>
    </cdr:from>
    <cdr:to>
      <cdr:x>0.95225</cdr:x>
      <cdr:y>0.34575</cdr:y>
    </cdr:to>
    <cdr:sp>
      <cdr:nvSpPr>
        <cdr:cNvPr id="6" name="TextBox 6"/>
        <cdr:cNvSpPr txBox="1">
          <a:spLocks noChangeArrowheads="1"/>
        </cdr:cNvSpPr>
      </cdr:nvSpPr>
      <cdr:spPr>
        <a:xfrm>
          <a:off x="6686550" y="1762125"/>
          <a:ext cx="16478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6600"/>
              </a:solidFill>
            </a:rPr>
            <a:t>Child Tax Credit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bishop\Local%20Settings\Temporary%20Internet%20Files\OLK23\Budge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% of GDP, Rev, Budg"/>
      <sheetName val="% of Budget"/>
      <sheetName val="Trustees"/>
      <sheetName val="Chart -Revs, Outlays, &amp; Deficit"/>
      <sheetName val="Debt, Deficit, and Interest"/>
      <sheetName val="Chart 1"/>
      <sheetName val="Ch.1 data"/>
      <sheetName val="Chart 2"/>
      <sheetName val="Ch.3 data"/>
      <sheetName val="Chart3"/>
      <sheetName val="Ch.4 Data"/>
      <sheetName val="Chart 4"/>
      <sheetName val="Ch.5 Data"/>
      <sheetName val="Chart 5"/>
      <sheetName val="Historical Receipts"/>
      <sheetName val="New Chart 6"/>
      <sheetName val="Old Chart 6"/>
      <sheetName val="Expanded 2003 Baseline"/>
    </sheetNames>
    <sheetDataSet>
      <sheetData sheetId="17">
        <row r="31">
          <cell r="D31">
            <v>10.361600000000001</v>
          </cell>
          <cell r="E31">
            <v>10.9223</v>
          </cell>
          <cell r="F31">
            <v>11.525799999999998</v>
          </cell>
          <cell r="G31">
            <v>12.1589</v>
          </cell>
          <cell r="H31">
            <v>12.8033</v>
          </cell>
          <cell r="I31">
            <v>13.448</v>
          </cell>
          <cell r="J31">
            <v>14.128320871999998</v>
          </cell>
          <cell r="K31">
            <v>14.843058496593605</v>
          </cell>
          <cell r="L31">
            <v>15.593953982877776</v>
          </cell>
          <cell r="M31">
            <v>16.38283652091758</v>
          </cell>
          <cell r="N31">
            <v>17.211627837674275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sites/default/files/omb/budget/fy2014/assets/hist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7:S92"/>
  <sheetViews>
    <sheetView showGridLines="0" zoomScale="85" zoomScaleNormal="85" zoomScalePageLayoutView="0" workbookViewId="0" topLeftCell="A39">
      <pane xSplit="1" ySplit="2" topLeftCell="B62" activePane="bottomRight" state="frozen"/>
      <selection pane="topLeft" activeCell="A39" sqref="A39"/>
      <selection pane="topRight" activeCell="B39" sqref="B39"/>
      <selection pane="bottomLeft" activeCell="A41" sqref="A41"/>
      <selection pane="bottomRight" activeCell="M81" sqref="M81"/>
    </sheetView>
  </sheetViews>
  <sheetFormatPr defaultColWidth="9.140625" defaultRowHeight="12.75"/>
  <cols>
    <col min="2" max="14" width="11.421875" style="0" customWidth="1"/>
    <col min="16" max="16" width="13.28125" style="0" bestFit="1" customWidth="1"/>
    <col min="17" max="17" width="14.00390625" style="0" customWidth="1"/>
    <col min="19" max="19" width="11.7109375" style="0" customWidth="1"/>
  </cols>
  <sheetData>
    <row r="37" ht="18.75">
      <c r="B37" s="2" t="s">
        <v>2</v>
      </c>
    </row>
    <row r="39" spans="2:14" ht="25.5" customHeight="1">
      <c r="B39" s="26" t="s">
        <v>11</v>
      </c>
      <c r="C39" s="26" t="s">
        <v>12</v>
      </c>
      <c r="D39" s="26" t="s">
        <v>13</v>
      </c>
      <c r="E39" s="11" t="s">
        <v>8</v>
      </c>
      <c r="F39" s="26" t="s">
        <v>15</v>
      </c>
      <c r="G39" s="26" t="s">
        <v>16</v>
      </c>
      <c r="H39" s="26" t="s">
        <v>17</v>
      </c>
      <c r="I39" s="11" t="s">
        <v>8</v>
      </c>
      <c r="J39" s="29" t="s">
        <v>1</v>
      </c>
      <c r="K39" s="26" t="s">
        <v>22</v>
      </c>
      <c r="L39" s="21" t="s">
        <v>19</v>
      </c>
      <c r="M39" s="22"/>
      <c r="N39" s="23"/>
    </row>
    <row r="40" spans="2:14" ht="25.5">
      <c r="B40" s="27"/>
      <c r="C40" s="27"/>
      <c r="D40" s="27"/>
      <c r="E40" s="13" t="s">
        <v>14</v>
      </c>
      <c r="F40" s="27"/>
      <c r="G40" s="27"/>
      <c r="H40" s="27"/>
      <c r="I40" s="13" t="s">
        <v>18</v>
      </c>
      <c r="J40" s="30"/>
      <c r="K40" s="28"/>
      <c r="L40" s="14" t="s">
        <v>0</v>
      </c>
      <c r="M40" s="14" t="s">
        <v>9</v>
      </c>
      <c r="N40" s="15" t="s">
        <v>1</v>
      </c>
    </row>
    <row r="41" spans="1:14" ht="12.75">
      <c r="A41">
        <v>1975</v>
      </c>
      <c r="B41" s="16">
        <v>1250</v>
      </c>
      <c r="C41" s="16"/>
      <c r="D41" s="16"/>
      <c r="E41" s="16"/>
      <c r="F41" s="16">
        <f>+B40*0.8+B41*0.2</f>
        <v>250</v>
      </c>
      <c r="G41" s="16"/>
      <c r="H41" s="16"/>
      <c r="I41" s="16"/>
      <c r="J41" s="16">
        <v>5121</v>
      </c>
      <c r="K41" s="5">
        <v>0.23917595436985137</v>
      </c>
      <c r="L41" s="6">
        <f aca="true" t="shared" si="0" ref="L41:L83">(F41/$K41)/1000</f>
        <v>1.0452555762081785</v>
      </c>
      <c r="M41" s="6"/>
      <c r="N41" s="6">
        <f>(J41/$K41)/1000</f>
        <v>21.41101522304833</v>
      </c>
    </row>
    <row r="42" spans="1:14" ht="12.75">
      <c r="A42">
        <v>1976</v>
      </c>
      <c r="B42" s="17">
        <v>1295</v>
      </c>
      <c r="C42" s="17"/>
      <c r="D42" s="17"/>
      <c r="E42" s="17"/>
      <c r="F42" s="17">
        <f>+B41*0.8+B42*0.2</f>
        <v>1259</v>
      </c>
      <c r="G42" s="17"/>
      <c r="H42" s="17"/>
      <c r="I42" s="17"/>
      <c r="J42" s="17">
        <v>5849</v>
      </c>
      <c r="K42" s="19">
        <v>0.25295746846922945</v>
      </c>
      <c r="L42" s="7">
        <f t="shared" si="0"/>
        <v>4.977121282952549</v>
      </c>
      <c r="M42" s="7"/>
      <c r="N42" s="7">
        <f>(J42/$K42)/1000</f>
        <v>23.12246416520211</v>
      </c>
    </row>
    <row r="43" spans="1:15" ht="12.75">
      <c r="A43">
        <v>1977</v>
      </c>
      <c r="B43" s="17">
        <v>1127</v>
      </c>
      <c r="C43" s="17"/>
      <c r="D43" s="17"/>
      <c r="E43" s="17"/>
      <c r="F43" s="17">
        <f aca="true" t="shared" si="1" ref="F43:F76">+B42*0.8+B43*0.2</f>
        <v>1261.4</v>
      </c>
      <c r="G43" s="17"/>
      <c r="H43" s="17"/>
      <c r="I43" s="17"/>
      <c r="J43" s="17">
        <v>6351</v>
      </c>
      <c r="K43" s="19">
        <v>0.2694063723942936</v>
      </c>
      <c r="L43" s="7">
        <f t="shared" si="0"/>
        <v>4.682146115511551</v>
      </c>
      <c r="M43" s="7"/>
      <c r="N43" s="7">
        <f aca="true" t="shared" si="2" ref="N43:N71">(J43/$K43)/1000</f>
        <v>23.574052623762373</v>
      </c>
      <c r="O43" s="3"/>
    </row>
    <row r="44" spans="1:15" ht="12.75">
      <c r="A44">
        <v>1978</v>
      </c>
      <c r="B44" s="17">
        <v>1048</v>
      </c>
      <c r="C44" s="17"/>
      <c r="D44" s="17"/>
      <c r="E44" s="17"/>
      <c r="F44" s="17">
        <f t="shared" si="1"/>
        <v>1111.2</v>
      </c>
      <c r="G44" s="17"/>
      <c r="H44" s="17"/>
      <c r="I44" s="17"/>
      <c r="J44" s="17">
        <v>6639</v>
      </c>
      <c r="K44" s="19">
        <v>0.2898563610578868</v>
      </c>
      <c r="L44" s="7">
        <f t="shared" si="0"/>
        <v>3.8336229570552147</v>
      </c>
      <c r="M44" s="7"/>
      <c r="N44" s="7">
        <f t="shared" si="2"/>
        <v>22.904448174846625</v>
      </c>
      <c r="O44" s="3"/>
    </row>
    <row r="45" spans="1:15" ht="12.75">
      <c r="A45">
        <v>1979</v>
      </c>
      <c r="B45" s="17">
        <v>2052</v>
      </c>
      <c r="C45" s="17"/>
      <c r="D45" s="17"/>
      <c r="E45" s="17"/>
      <c r="F45" s="17">
        <f t="shared" si="1"/>
        <v>1248.8000000000002</v>
      </c>
      <c r="G45" s="17"/>
      <c r="H45" s="17"/>
      <c r="I45" s="17"/>
      <c r="J45" s="17">
        <v>6610</v>
      </c>
      <c r="K45" s="19">
        <v>0.32275416890801506</v>
      </c>
      <c r="L45" s="7">
        <f t="shared" si="0"/>
        <v>3.869198666666667</v>
      </c>
      <c r="M45" s="7"/>
      <c r="N45" s="7">
        <f t="shared" si="2"/>
        <v>20.479983333333333</v>
      </c>
      <c r="O45" s="3"/>
    </row>
    <row r="46" spans="1:15" ht="12.75">
      <c r="A46">
        <v>1980</v>
      </c>
      <c r="B46" s="17">
        <v>1986</v>
      </c>
      <c r="C46" s="17"/>
      <c r="D46" s="17"/>
      <c r="E46" s="17"/>
      <c r="F46" s="17">
        <f t="shared" si="1"/>
        <v>2038.8000000000002</v>
      </c>
      <c r="G46" s="17"/>
      <c r="H46" s="17"/>
      <c r="I46" s="17"/>
      <c r="J46" s="17">
        <v>7308</v>
      </c>
      <c r="K46" s="19">
        <v>0.36632153606088763</v>
      </c>
      <c r="L46" s="7">
        <f t="shared" si="0"/>
        <v>5.565602344660195</v>
      </c>
      <c r="M46" s="7"/>
      <c r="N46" s="7">
        <f t="shared" si="2"/>
        <v>19.949687038834952</v>
      </c>
      <c r="O46" s="3"/>
    </row>
    <row r="47" spans="1:15" ht="12.75">
      <c r="A47">
        <v>1981</v>
      </c>
      <c r="B47" s="17">
        <v>1912</v>
      </c>
      <c r="C47" s="17"/>
      <c r="D47" s="17"/>
      <c r="E47" s="17"/>
      <c r="F47" s="17">
        <f t="shared" si="1"/>
        <v>1971.2000000000003</v>
      </c>
      <c r="G47" s="17"/>
      <c r="H47" s="17"/>
      <c r="I47" s="17"/>
      <c r="J47" s="17">
        <v>8175</v>
      </c>
      <c r="K47" s="19">
        <v>0.4041095585914404</v>
      </c>
      <c r="L47" s="7">
        <f t="shared" si="0"/>
        <v>4.877885113311331</v>
      </c>
      <c r="M47" s="7"/>
      <c r="N47" s="7">
        <f t="shared" si="2"/>
        <v>20.229662541254125</v>
      </c>
      <c r="O47" s="3"/>
    </row>
    <row r="48" spans="1:15" ht="12.75">
      <c r="A48">
        <v>1982</v>
      </c>
      <c r="B48" s="17">
        <v>1775</v>
      </c>
      <c r="C48" s="17"/>
      <c r="D48" s="17"/>
      <c r="E48" s="17"/>
      <c r="F48" s="17">
        <f t="shared" si="1"/>
        <v>1884.6000000000001</v>
      </c>
      <c r="G48" s="17"/>
      <c r="H48" s="17"/>
      <c r="I48" s="17"/>
      <c r="J48" s="17">
        <v>7990</v>
      </c>
      <c r="K48" s="19">
        <v>0.4290051969645104</v>
      </c>
      <c r="L48" s="7">
        <f t="shared" si="0"/>
        <v>4.392953776165803</v>
      </c>
      <c r="M48" s="7"/>
      <c r="N48" s="7">
        <f t="shared" si="2"/>
        <v>18.624483005181347</v>
      </c>
      <c r="O48" s="3"/>
    </row>
    <row r="49" spans="1:15" ht="12.75">
      <c r="A49">
        <v>1983</v>
      </c>
      <c r="B49" s="17">
        <v>1795</v>
      </c>
      <c r="C49" s="17"/>
      <c r="D49" s="17"/>
      <c r="E49" s="17"/>
      <c r="F49" s="17">
        <f t="shared" si="1"/>
        <v>1779</v>
      </c>
      <c r="G49" s="17"/>
      <c r="H49" s="17"/>
      <c r="I49" s="17"/>
      <c r="J49" s="17">
        <v>8391</v>
      </c>
      <c r="K49" s="19">
        <v>0.4427867110638884</v>
      </c>
      <c r="L49" s="7">
        <f t="shared" si="0"/>
        <v>4.017735753012048</v>
      </c>
      <c r="M49" s="7"/>
      <c r="N49" s="7">
        <f t="shared" si="2"/>
        <v>18.950433222891565</v>
      </c>
      <c r="O49" s="3"/>
    </row>
    <row r="50" spans="1:15" ht="12.75">
      <c r="A50">
        <v>1984</v>
      </c>
      <c r="B50" s="17">
        <v>1638</v>
      </c>
      <c r="C50" s="17"/>
      <c r="D50" s="17"/>
      <c r="E50" s="17"/>
      <c r="F50" s="17">
        <f t="shared" si="1"/>
        <v>1763.6</v>
      </c>
      <c r="G50" s="17"/>
      <c r="H50" s="17"/>
      <c r="I50" s="17"/>
      <c r="J50" s="17">
        <v>8854</v>
      </c>
      <c r="K50" s="19">
        <v>0.4619030048146387</v>
      </c>
      <c r="L50" s="7">
        <f t="shared" si="0"/>
        <v>3.818117616939364</v>
      </c>
      <c r="M50" s="7"/>
      <c r="N50" s="7">
        <f t="shared" si="2"/>
        <v>19.168526525505293</v>
      </c>
      <c r="O50" s="3"/>
    </row>
    <row r="51" spans="1:15" ht="12.75">
      <c r="A51">
        <v>1985</v>
      </c>
      <c r="B51" s="17">
        <v>2088</v>
      </c>
      <c r="C51" s="17"/>
      <c r="D51" s="17"/>
      <c r="E51" s="17"/>
      <c r="F51" s="17">
        <f t="shared" si="1"/>
        <v>1728</v>
      </c>
      <c r="G51" s="17"/>
      <c r="H51" s="17"/>
      <c r="I51" s="17"/>
      <c r="J51" s="17">
        <v>9224</v>
      </c>
      <c r="K51" s="19">
        <v>0.47835190873970274</v>
      </c>
      <c r="L51" s="7">
        <f t="shared" si="0"/>
        <v>3.612403271375465</v>
      </c>
      <c r="M51" s="7"/>
      <c r="N51" s="7">
        <f t="shared" si="2"/>
        <v>19.282874869888477</v>
      </c>
      <c r="O51" s="3"/>
    </row>
    <row r="52" spans="1:15" ht="12.75">
      <c r="A52">
        <v>1986</v>
      </c>
      <c r="B52" s="17">
        <v>2009</v>
      </c>
      <c r="C52" s="17"/>
      <c r="D52" s="17"/>
      <c r="E52" s="17"/>
      <c r="F52" s="17">
        <f t="shared" si="1"/>
        <v>2072.2000000000003</v>
      </c>
      <c r="G52" s="17"/>
      <c r="H52" s="17"/>
      <c r="I52" s="17"/>
      <c r="J52" s="17">
        <v>9877</v>
      </c>
      <c r="K52" s="19">
        <v>0.48724320815865635</v>
      </c>
      <c r="L52" s="7">
        <f t="shared" si="0"/>
        <v>4.252906895985402</v>
      </c>
      <c r="M52" s="7"/>
      <c r="N52" s="7">
        <f t="shared" si="2"/>
        <v>20.27119072080292</v>
      </c>
      <c r="O52" s="3"/>
    </row>
    <row r="53" spans="1:15" ht="12.75">
      <c r="A53">
        <v>1987</v>
      </c>
      <c r="B53" s="17">
        <v>3391</v>
      </c>
      <c r="C53" s="17"/>
      <c r="D53" s="17"/>
      <c r="E53" s="17"/>
      <c r="F53" s="17">
        <f t="shared" si="1"/>
        <v>2285.4</v>
      </c>
      <c r="G53" s="17"/>
      <c r="H53" s="17"/>
      <c r="I53" s="17"/>
      <c r="J53" s="17">
        <v>10540</v>
      </c>
      <c r="K53" s="19">
        <v>0.5050258069965635</v>
      </c>
      <c r="L53" s="7">
        <f t="shared" si="0"/>
        <v>4.525313297535211</v>
      </c>
      <c r="M53" s="7"/>
      <c r="N53" s="7">
        <f t="shared" si="2"/>
        <v>20.87022059859155</v>
      </c>
      <c r="O53" s="3"/>
    </row>
    <row r="54" spans="1:15" ht="12.75">
      <c r="A54">
        <v>1988</v>
      </c>
      <c r="B54" s="17">
        <v>5896</v>
      </c>
      <c r="C54" s="17"/>
      <c r="D54" s="17"/>
      <c r="E54" s="17"/>
      <c r="F54" s="17">
        <f t="shared" si="1"/>
        <v>3892</v>
      </c>
      <c r="G54" s="17"/>
      <c r="H54" s="17"/>
      <c r="I54" s="17"/>
      <c r="J54" s="17">
        <v>10764</v>
      </c>
      <c r="K54" s="19">
        <v>0.5259203606311045</v>
      </c>
      <c r="L54" s="7">
        <f t="shared" si="0"/>
        <v>7.40036</v>
      </c>
      <c r="M54" s="7"/>
      <c r="N54" s="7">
        <f t="shared" si="2"/>
        <v>20.46697714285714</v>
      </c>
      <c r="O54" s="3"/>
    </row>
    <row r="55" spans="1:15" ht="12.75">
      <c r="A55">
        <v>1989</v>
      </c>
      <c r="B55" s="17">
        <v>6595</v>
      </c>
      <c r="C55" s="17"/>
      <c r="D55" s="17"/>
      <c r="E55" s="17"/>
      <c r="F55" s="17">
        <f t="shared" si="1"/>
        <v>6035.8</v>
      </c>
      <c r="G55" s="17"/>
      <c r="H55" s="17"/>
      <c r="I55" s="17"/>
      <c r="J55" s="17">
        <v>11166</v>
      </c>
      <c r="K55" s="19">
        <v>0.5512605639751221</v>
      </c>
      <c r="L55" s="7">
        <f t="shared" si="0"/>
        <v>10.949087227419355</v>
      </c>
      <c r="M55" s="7"/>
      <c r="N55" s="7">
        <f t="shared" si="2"/>
        <v>20.255394145161294</v>
      </c>
      <c r="O55" s="3"/>
    </row>
    <row r="56" spans="1:15" ht="12.75">
      <c r="A56">
        <v>1990</v>
      </c>
      <c r="B56" s="17">
        <v>7511</v>
      </c>
      <c r="C56" s="17"/>
      <c r="D56" s="17"/>
      <c r="E56" s="17"/>
      <c r="F56" s="17">
        <f t="shared" si="1"/>
        <v>6778.2</v>
      </c>
      <c r="G56" s="17"/>
      <c r="H56" s="17"/>
      <c r="I56" s="17"/>
      <c r="J56" s="17">
        <v>12246</v>
      </c>
      <c r="K56" s="19">
        <v>0.5810464170286166</v>
      </c>
      <c r="L56" s="7">
        <f t="shared" si="0"/>
        <v>11.665505201224178</v>
      </c>
      <c r="M56" s="7"/>
      <c r="N56" s="7">
        <f t="shared" si="2"/>
        <v>21.07576889058914</v>
      </c>
      <c r="O56" s="3"/>
    </row>
    <row r="57" spans="1:15" ht="12.75">
      <c r="A57">
        <v>1991</v>
      </c>
      <c r="B57" s="17">
        <v>11105</v>
      </c>
      <c r="C57" s="17"/>
      <c r="D57" s="17"/>
      <c r="E57" s="17"/>
      <c r="F57" s="17">
        <f t="shared" si="1"/>
        <v>8229.8</v>
      </c>
      <c r="G57" s="17"/>
      <c r="H57" s="17"/>
      <c r="I57" s="17"/>
      <c r="J57" s="17">
        <v>13520</v>
      </c>
      <c r="K57" s="19">
        <v>0.605497490430739</v>
      </c>
      <c r="L57" s="7">
        <f t="shared" si="0"/>
        <v>13.591798694566812</v>
      </c>
      <c r="M57" s="7"/>
      <c r="N57" s="7">
        <f t="shared" si="2"/>
        <v>22.328746549192363</v>
      </c>
      <c r="O57" s="3"/>
    </row>
    <row r="58" spans="1:15" ht="12.75">
      <c r="A58">
        <v>1992</v>
      </c>
      <c r="B58" s="17">
        <v>13028</v>
      </c>
      <c r="C58" s="17"/>
      <c r="D58" s="17"/>
      <c r="E58" s="17"/>
      <c r="F58" s="17">
        <f t="shared" si="1"/>
        <v>11489.6</v>
      </c>
      <c r="G58" s="17"/>
      <c r="H58" s="17"/>
      <c r="I58" s="17"/>
      <c r="J58" s="17">
        <v>15103</v>
      </c>
      <c r="K58" s="19">
        <v>0.6237246542395939</v>
      </c>
      <c r="L58" s="7">
        <f t="shared" si="0"/>
        <v>18.420948926585886</v>
      </c>
      <c r="M58" s="7"/>
      <c r="N58" s="7">
        <f t="shared" si="2"/>
        <v>24.21421038488952</v>
      </c>
      <c r="O58" s="3"/>
    </row>
    <row r="59" spans="1:15" ht="12.75">
      <c r="A59">
        <v>1993</v>
      </c>
      <c r="B59" s="17">
        <v>15537</v>
      </c>
      <c r="C59" s="17"/>
      <c r="D59" s="17"/>
      <c r="E59" s="17"/>
      <c r="F59" s="17">
        <f t="shared" si="1"/>
        <v>13529.800000000001</v>
      </c>
      <c r="G59" s="17"/>
      <c r="H59" s="17"/>
      <c r="I59" s="17"/>
      <c r="J59" s="17">
        <v>15628</v>
      </c>
      <c r="K59" s="19">
        <v>0.6423963830193964</v>
      </c>
      <c r="L59" s="7">
        <f t="shared" si="0"/>
        <v>21.061451087889274</v>
      </c>
      <c r="M59" s="7"/>
      <c r="N59" s="7">
        <f t="shared" si="2"/>
        <v>24.32765876816609</v>
      </c>
      <c r="O59" s="3"/>
    </row>
    <row r="60" spans="1:15" ht="12.75">
      <c r="A60">
        <v>1994</v>
      </c>
      <c r="B60" s="17">
        <v>21105</v>
      </c>
      <c r="C60" s="17"/>
      <c r="D60" s="17"/>
      <c r="E60" s="17"/>
      <c r="F60" s="17">
        <f t="shared" si="1"/>
        <v>16650.6</v>
      </c>
      <c r="G60" s="17"/>
      <c r="H60" s="17"/>
      <c r="I60" s="17"/>
      <c r="J60" s="17">
        <v>16508</v>
      </c>
      <c r="K60" s="19">
        <v>0.6588452869444604</v>
      </c>
      <c r="L60" s="7">
        <f t="shared" si="0"/>
        <v>25.27239752631579</v>
      </c>
      <c r="M60" s="7"/>
      <c r="N60" s="7">
        <f t="shared" si="2"/>
        <v>25.055958245614036</v>
      </c>
      <c r="O60" s="3"/>
    </row>
    <row r="61" spans="1:15" ht="12.75">
      <c r="A61">
        <v>1995</v>
      </c>
      <c r="B61" s="17">
        <v>25956</v>
      </c>
      <c r="C61" s="17"/>
      <c r="D61" s="17"/>
      <c r="E61" s="17"/>
      <c r="F61" s="17">
        <f t="shared" si="1"/>
        <v>22075.2</v>
      </c>
      <c r="G61" s="17"/>
      <c r="H61" s="17"/>
      <c r="I61" s="17"/>
      <c r="J61" s="17">
        <v>17133</v>
      </c>
      <c r="K61" s="19">
        <v>0.677517015724263</v>
      </c>
      <c r="L61" s="7">
        <f t="shared" si="0"/>
        <v>32.582502708661416</v>
      </c>
      <c r="M61" s="7"/>
      <c r="N61" s="7">
        <f t="shared" si="2"/>
        <v>25.287925767716533</v>
      </c>
      <c r="O61" s="3"/>
    </row>
    <row r="62" spans="1:15" ht="12.75">
      <c r="A62">
        <v>1996</v>
      </c>
      <c r="B62" s="17">
        <v>28825</v>
      </c>
      <c r="C62" s="17"/>
      <c r="D62" s="17"/>
      <c r="E62" s="17"/>
      <c r="F62" s="17">
        <f t="shared" si="1"/>
        <v>26529.800000000003</v>
      </c>
      <c r="G62" s="17"/>
      <c r="H62" s="17"/>
      <c r="I62" s="17"/>
      <c r="J62" s="17">
        <v>16670</v>
      </c>
      <c r="K62" s="19">
        <v>0.6975224394169086</v>
      </c>
      <c r="L62" s="7">
        <f t="shared" si="0"/>
        <v>38.03433194518802</v>
      </c>
      <c r="M62" s="7"/>
      <c r="N62" s="7">
        <f t="shared" si="2"/>
        <v>23.89887272147865</v>
      </c>
      <c r="O62" s="3"/>
    </row>
    <row r="63" spans="1:15" ht="12.75">
      <c r="A63">
        <v>1997</v>
      </c>
      <c r="B63" s="17">
        <v>30389</v>
      </c>
      <c r="C63" s="17"/>
      <c r="D63" s="17"/>
      <c r="E63" s="17"/>
      <c r="F63" s="17">
        <f t="shared" si="1"/>
        <v>29137.8</v>
      </c>
      <c r="G63" s="17"/>
      <c r="H63" s="17"/>
      <c r="I63" s="17"/>
      <c r="J63" s="17">
        <v>15069</v>
      </c>
      <c r="K63" s="19">
        <v>0.7135267783710251</v>
      </c>
      <c r="L63" s="7">
        <f t="shared" si="0"/>
        <v>40.83630899813084</v>
      </c>
      <c r="M63" s="7"/>
      <c r="N63" s="7">
        <f t="shared" si="2"/>
        <v>21.11903919626168</v>
      </c>
      <c r="O63" s="3"/>
    </row>
    <row r="64" spans="1:15" ht="12.75">
      <c r="A64">
        <v>1998</v>
      </c>
      <c r="B64" s="17">
        <v>31592</v>
      </c>
      <c r="C64" s="17">
        <f>15143</f>
        <v>15143</v>
      </c>
      <c r="D64" s="17">
        <v>509</v>
      </c>
      <c r="E64" s="17">
        <f aca="true" t="shared" si="3" ref="E64:E83">+C64+D64</f>
        <v>15652</v>
      </c>
      <c r="F64" s="17">
        <f t="shared" si="1"/>
        <v>30629.600000000002</v>
      </c>
      <c r="G64" s="17">
        <f aca="true" t="shared" si="4" ref="G64:G76">+C63*0.8+C64*0.2</f>
        <v>3028.6000000000004</v>
      </c>
      <c r="H64" s="17">
        <f aca="true" t="shared" si="5" ref="H64:H76">+D63*0.8+D64*0.2</f>
        <v>101.80000000000001</v>
      </c>
      <c r="I64" s="17">
        <f aca="true" t="shared" si="6" ref="I64:I76">+E63*0.8+E64*0.2</f>
        <v>3130.4</v>
      </c>
      <c r="J64" s="17">
        <v>15455</v>
      </c>
      <c r="K64" s="19">
        <v>0.724640902644717</v>
      </c>
      <c r="L64" s="7">
        <f t="shared" si="0"/>
        <v>42.26866008834356</v>
      </c>
      <c r="M64" s="7">
        <f aca="true" t="shared" si="7" ref="M64:M83">((I64)/$K64)/1000</f>
        <v>4.319932795092024</v>
      </c>
      <c r="N64" s="7">
        <f t="shared" si="2"/>
        <v>21.32780518404908</v>
      </c>
      <c r="O64" s="3"/>
    </row>
    <row r="65" spans="1:15" ht="12.75">
      <c r="A65">
        <v>1999</v>
      </c>
      <c r="B65" s="17">
        <v>31903</v>
      </c>
      <c r="C65" s="17">
        <f>19399</f>
        <v>19399</v>
      </c>
      <c r="D65" s="17">
        <v>812</v>
      </c>
      <c r="E65" s="17">
        <f t="shared" si="3"/>
        <v>20211</v>
      </c>
      <c r="F65" s="17">
        <f t="shared" si="1"/>
        <v>31654.200000000004</v>
      </c>
      <c r="G65" s="17">
        <f t="shared" si="4"/>
        <v>15994.2</v>
      </c>
      <c r="H65" s="17">
        <f t="shared" si="5"/>
        <v>569.6</v>
      </c>
      <c r="I65" s="17">
        <f t="shared" si="6"/>
        <v>16563.8</v>
      </c>
      <c r="J65" s="17">
        <v>16917</v>
      </c>
      <c r="K65" s="19">
        <v>0.7406452415988335</v>
      </c>
      <c r="L65" s="7">
        <f t="shared" si="0"/>
        <v>42.73868003481393</v>
      </c>
      <c r="M65" s="7">
        <f t="shared" si="7"/>
        <v>22.3640132545018</v>
      </c>
      <c r="N65" s="7">
        <f t="shared" si="2"/>
        <v>22.840894735894356</v>
      </c>
      <c r="O65" s="3"/>
    </row>
    <row r="66" spans="1:14" ht="12.75">
      <c r="A66">
        <v>2000</v>
      </c>
      <c r="B66" s="17">
        <v>32296</v>
      </c>
      <c r="C66" s="17">
        <f>19689</f>
        <v>19689</v>
      </c>
      <c r="D66" s="17">
        <v>978</v>
      </c>
      <c r="E66" s="17">
        <f t="shared" si="3"/>
        <v>20667</v>
      </c>
      <c r="F66" s="17">
        <f t="shared" si="1"/>
        <v>31981.600000000002</v>
      </c>
      <c r="G66" s="17">
        <f t="shared" si="4"/>
        <v>19457</v>
      </c>
      <c r="H66" s="17">
        <f t="shared" si="5"/>
        <v>845.2</v>
      </c>
      <c r="I66" s="17">
        <f t="shared" si="6"/>
        <v>20302.2</v>
      </c>
      <c r="J66" s="17">
        <v>18370</v>
      </c>
      <c r="K66" s="19">
        <v>0.7655408799719035</v>
      </c>
      <c r="L66" s="7">
        <f t="shared" si="0"/>
        <v>41.77647573983741</v>
      </c>
      <c r="M66" s="7">
        <f t="shared" si="7"/>
        <v>26.52007297212544</v>
      </c>
      <c r="N66" s="7">
        <f>(J66/$K66)/1000</f>
        <v>23.99610586527294</v>
      </c>
    </row>
    <row r="67" spans="1:14" ht="12.75">
      <c r="A67">
        <v>2001</v>
      </c>
      <c r="B67" s="17">
        <v>33376</v>
      </c>
      <c r="C67" s="17">
        <f>22427</f>
        <v>22427</v>
      </c>
      <c r="D67" s="17">
        <v>4995</v>
      </c>
      <c r="E67" s="17">
        <f t="shared" si="3"/>
        <v>27422</v>
      </c>
      <c r="F67" s="17">
        <f t="shared" si="1"/>
        <v>32512.000000000004</v>
      </c>
      <c r="G67" s="17">
        <f t="shared" si="4"/>
        <v>20236.600000000002</v>
      </c>
      <c r="H67" s="17">
        <f t="shared" si="5"/>
        <v>1781.4</v>
      </c>
      <c r="I67" s="17">
        <f t="shared" si="6"/>
        <v>22018.000000000004</v>
      </c>
      <c r="J67" s="17">
        <v>21864</v>
      </c>
      <c r="K67" s="19">
        <v>0.7873245635483398</v>
      </c>
      <c r="L67" s="7">
        <f t="shared" si="0"/>
        <v>41.294278757763976</v>
      </c>
      <c r="M67" s="7">
        <f t="shared" si="7"/>
        <v>27.96559515527951</v>
      </c>
      <c r="N67" s="7">
        <f t="shared" si="2"/>
        <v>27.76999602484472</v>
      </c>
    </row>
    <row r="68" spans="1:19" ht="12.75">
      <c r="A68" s="4">
        <v>2002</v>
      </c>
      <c r="B68" s="17">
        <v>38199</v>
      </c>
      <c r="C68" s="17">
        <f>21520</f>
        <v>21520</v>
      </c>
      <c r="D68" s="17">
        <v>6416</v>
      </c>
      <c r="E68" s="17">
        <f t="shared" si="3"/>
        <v>27936</v>
      </c>
      <c r="F68" s="17">
        <f t="shared" si="1"/>
        <v>34340.600000000006</v>
      </c>
      <c r="G68" s="17">
        <f t="shared" si="4"/>
        <v>22245.600000000002</v>
      </c>
      <c r="H68" s="17">
        <f t="shared" si="5"/>
        <v>5279.2</v>
      </c>
      <c r="I68" s="17">
        <f t="shared" si="6"/>
        <v>27524.800000000003</v>
      </c>
      <c r="J68" s="17">
        <v>22747</v>
      </c>
      <c r="K68" s="19">
        <v>0.7997723827348748</v>
      </c>
      <c r="L68" s="7">
        <f t="shared" si="0"/>
        <v>42.937966778210125</v>
      </c>
      <c r="M68" s="7">
        <f t="shared" si="7"/>
        <v>34.41579203557532</v>
      </c>
      <c r="N68" s="7">
        <f t="shared" si="2"/>
        <v>28.441842317954418</v>
      </c>
      <c r="S68" s="1"/>
    </row>
    <row r="69" spans="1:14" ht="12.75">
      <c r="A69">
        <v>2003</v>
      </c>
      <c r="B69" s="17">
        <v>38657</v>
      </c>
      <c r="C69" s="17">
        <f>22788</f>
        <v>22788</v>
      </c>
      <c r="D69" s="17">
        <v>9113</v>
      </c>
      <c r="E69" s="17">
        <f t="shared" si="3"/>
        <v>31901</v>
      </c>
      <c r="F69" s="17">
        <f t="shared" si="1"/>
        <v>38290.6</v>
      </c>
      <c r="G69" s="17">
        <f t="shared" si="4"/>
        <v>21773.6</v>
      </c>
      <c r="H69" s="17">
        <f t="shared" si="5"/>
        <v>6955.400000000001</v>
      </c>
      <c r="I69" s="17">
        <f t="shared" si="6"/>
        <v>28729.000000000004</v>
      </c>
      <c r="J69" s="17">
        <v>23140</v>
      </c>
      <c r="K69" s="19">
        <v>0.8179995465437296</v>
      </c>
      <c r="L69" s="7">
        <f t="shared" si="0"/>
        <v>46.81005039891304</v>
      </c>
      <c r="M69" s="7">
        <f t="shared" si="7"/>
        <v>35.121046364130436</v>
      </c>
      <c r="N69" s="7">
        <f t="shared" si="2"/>
        <v>28.288524239130435</v>
      </c>
    </row>
    <row r="70" spans="1:14" ht="12.75">
      <c r="A70" s="4">
        <v>2004</v>
      </c>
      <c r="B70" s="17">
        <v>40024</v>
      </c>
      <c r="C70" s="17">
        <f>32300</f>
        <v>32300</v>
      </c>
      <c r="D70" s="17">
        <v>14450</v>
      </c>
      <c r="E70" s="17">
        <f t="shared" si="3"/>
        <v>46750</v>
      </c>
      <c r="F70" s="17">
        <f t="shared" si="1"/>
        <v>38930.4</v>
      </c>
      <c r="G70" s="17">
        <f t="shared" si="4"/>
        <v>24690.4</v>
      </c>
      <c r="H70" s="17">
        <f t="shared" si="5"/>
        <v>10180.400000000001</v>
      </c>
      <c r="I70" s="17">
        <f t="shared" si="6"/>
        <v>34870.8</v>
      </c>
      <c r="J70" s="17">
        <v>21540</v>
      </c>
      <c r="K70" s="19">
        <v>0.839783230120166</v>
      </c>
      <c r="L70" s="7">
        <f t="shared" si="0"/>
        <v>46.35767731921651</v>
      </c>
      <c r="M70" s="7">
        <f t="shared" si="7"/>
        <v>41.523572690312335</v>
      </c>
      <c r="N70" s="7">
        <f t="shared" si="2"/>
        <v>25.64947623080995</v>
      </c>
    </row>
    <row r="71" spans="1:14" ht="12.75">
      <c r="A71" s="4">
        <v>2005</v>
      </c>
      <c r="B71" s="17">
        <v>42410</v>
      </c>
      <c r="C71" s="17">
        <f>32047</f>
        <v>32047</v>
      </c>
      <c r="D71" s="17">
        <v>15495</v>
      </c>
      <c r="E71" s="17">
        <f t="shared" si="3"/>
        <v>47542</v>
      </c>
      <c r="F71" s="17">
        <f t="shared" si="1"/>
        <v>40501.2</v>
      </c>
      <c r="G71" s="17">
        <f t="shared" si="4"/>
        <v>32249.4</v>
      </c>
      <c r="H71" s="17">
        <f t="shared" si="5"/>
        <v>14659</v>
      </c>
      <c r="I71" s="17">
        <f t="shared" si="6"/>
        <v>46908.4</v>
      </c>
      <c r="J71" s="17">
        <v>21340</v>
      </c>
      <c r="K71" s="19">
        <v>0.8682353882608175</v>
      </c>
      <c r="L71" s="7">
        <f t="shared" si="0"/>
        <v>46.64771851920122</v>
      </c>
      <c r="M71" s="7">
        <f t="shared" si="7"/>
        <v>54.027284114695334</v>
      </c>
      <c r="N71" s="7">
        <f t="shared" si="2"/>
        <v>24.57858812083973</v>
      </c>
    </row>
    <row r="72" spans="1:14" ht="12.75">
      <c r="A72">
        <v>2006</v>
      </c>
      <c r="B72" s="17">
        <v>44388</v>
      </c>
      <c r="C72" s="17">
        <f>31742</f>
        <v>31742</v>
      </c>
      <c r="D72" s="17">
        <v>16249</v>
      </c>
      <c r="E72" s="17">
        <f t="shared" si="3"/>
        <v>47991</v>
      </c>
      <c r="F72" s="17">
        <f t="shared" si="1"/>
        <v>42805.6</v>
      </c>
      <c r="G72" s="17">
        <f t="shared" si="4"/>
        <v>31986.000000000004</v>
      </c>
      <c r="H72" s="17">
        <f t="shared" si="5"/>
        <v>15645.8</v>
      </c>
      <c r="I72" s="17">
        <f t="shared" si="6"/>
        <v>47631.8</v>
      </c>
      <c r="J72" s="17">
        <v>20898</v>
      </c>
      <c r="K72" s="19">
        <v>0.8962429814305212</v>
      </c>
      <c r="L72" s="7">
        <f t="shared" si="0"/>
        <v>47.7611550515873</v>
      </c>
      <c r="M72" s="7">
        <f t="shared" si="7"/>
        <v>53.14607867162699</v>
      </c>
      <c r="N72" s="7">
        <f>(J72/$K72)/1000</f>
        <v>23.317337410714284</v>
      </c>
    </row>
    <row r="73" spans="1:14" ht="12.75">
      <c r="A73">
        <v>2007</v>
      </c>
      <c r="B73" s="17">
        <v>48540</v>
      </c>
      <c r="C73" s="17">
        <f>31556</f>
        <v>31556</v>
      </c>
      <c r="D73" s="17">
        <v>16690</v>
      </c>
      <c r="E73" s="17">
        <f t="shared" si="3"/>
        <v>48246</v>
      </c>
      <c r="F73" s="17">
        <f t="shared" si="1"/>
        <v>45218.4</v>
      </c>
      <c r="G73" s="17">
        <f t="shared" si="4"/>
        <v>31704.800000000003</v>
      </c>
      <c r="H73" s="17">
        <f t="shared" si="5"/>
        <v>16337.2</v>
      </c>
      <c r="I73" s="17">
        <f t="shared" si="6"/>
        <v>48042</v>
      </c>
      <c r="J73" s="17">
        <v>21114</v>
      </c>
      <c r="K73" s="19">
        <v>0.921769902062337</v>
      </c>
      <c r="L73" s="7">
        <f t="shared" si="0"/>
        <v>49.05606041033654</v>
      </c>
      <c r="M73" s="7">
        <f t="shared" si="7"/>
        <v>52.11929776890355</v>
      </c>
      <c r="N73" s="7">
        <f>(J73/$K73)/1000</f>
        <v>22.90593341435888</v>
      </c>
    </row>
    <row r="74" spans="1:14" ht="12.75">
      <c r="A74">
        <v>2008</v>
      </c>
      <c r="B74" s="17">
        <v>50669</v>
      </c>
      <c r="C74" s="17">
        <f>30538</f>
        <v>30538</v>
      </c>
      <c r="D74" s="17">
        <v>20427</v>
      </c>
      <c r="E74" s="17">
        <f t="shared" si="3"/>
        <v>50965</v>
      </c>
      <c r="F74" s="17">
        <f t="shared" si="1"/>
        <v>48965.8</v>
      </c>
      <c r="G74" s="17">
        <f t="shared" si="4"/>
        <v>31352.4</v>
      </c>
      <c r="H74" s="17">
        <f t="shared" si="5"/>
        <v>17437.4</v>
      </c>
      <c r="I74" s="17">
        <f t="shared" si="6"/>
        <v>48789.8</v>
      </c>
      <c r="J74" s="17">
        <v>21815</v>
      </c>
      <c r="K74" s="19">
        <v>0.9571617193994817</v>
      </c>
      <c r="L74" s="7">
        <f t="shared" si="0"/>
        <v>51.15729035916824</v>
      </c>
      <c r="M74" s="7">
        <f t="shared" si="7"/>
        <v>50.97341338578654</v>
      </c>
      <c r="N74" s="7">
        <f>(J74/$K74)/1000</f>
        <v>22.79134189955551</v>
      </c>
    </row>
    <row r="75" spans="1:14" ht="12.75">
      <c r="A75">
        <v>2009</v>
      </c>
      <c r="B75" s="17">
        <v>59239</v>
      </c>
      <c r="C75" s="17">
        <f>28417</f>
        <v>28417</v>
      </c>
      <c r="D75" s="17">
        <v>27499</v>
      </c>
      <c r="E75" s="17">
        <f t="shared" si="3"/>
        <v>55916</v>
      </c>
      <c r="F75" s="17">
        <f t="shared" si="1"/>
        <v>52383.00000000001</v>
      </c>
      <c r="G75" s="17">
        <f t="shared" si="4"/>
        <v>30113.800000000003</v>
      </c>
      <c r="H75" s="17">
        <f t="shared" si="5"/>
        <v>21841.4</v>
      </c>
      <c r="I75" s="17">
        <f t="shared" si="6"/>
        <v>51955.2</v>
      </c>
      <c r="J75" s="17">
        <v>22213</v>
      </c>
      <c r="K75" s="19">
        <v>0.9537563517220224</v>
      </c>
      <c r="L75" s="7">
        <f t="shared" si="0"/>
        <v>54.922832131520444</v>
      </c>
      <c r="M75" s="7">
        <f t="shared" si="7"/>
        <v>54.474289902441065</v>
      </c>
      <c r="N75" s="7">
        <f>(J75/$K75)/1000</f>
        <v>23.29001527475447</v>
      </c>
    </row>
    <row r="76" spans="1:14" ht="12.75">
      <c r="A76">
        <v>2010</v>
      </c>
      <c r="B76" s="17">
        <v>59562</v>
      </c>
      <c r="C76" s="17">
        <f>28504</f>
        <v>28504</v>
      </c>
      <c r="D76" s="17">
        <v>27754</v>
      </c>
      <c r="E76" s="17">
        <f t="shared" si="3"/>
        <v>56258</v>
      </c>
      <c r="F76" s="17">
        <f t="shared" si="1"/>
        <v>59303.600000000006</v>
      </c>
      <c r="G76" s="17">
        <f t="shared" si="4"/>
        <v>28434.4</v>
      </c>
      <c r="H76" s="17">
        <f t="shared" si="5"/>
        <v>27550</v>
      </c>
      <c r="I76" s="17">
        <f t="shared" si="6"/>
        <v>55984.4</v>
      </c>
      <c r="J76" s="17">
        <v>21936</v>
      </c>
      <c r="K76" s="19">
        <v>0.9694005930496713</v>
      </c>
      <c r="L76" s="7">
        <f t="shared" si="0"/>
        <v>61.17553509373739</v>
      </c>
      <c r="M76" s="7">
        <f t="shared" si="7"/>
        <v>57.75156359650732</v>
      </c>
      <c r="N76" s="7">
        <f>(J76/$K76)/1000</f>
        <v>22.628416113291998</v>
      </c>
    </row>
    <row r="77" spans="1:14" ht="12.75">
      <c r="A77">
        <v>2011</v>
      </c>
      <c r="B77" s="17">
        <v>62906</v>
      </c>
      <c r="C77" s="17">
        <v>28089</v>
      </c>
      <c r="D77" s="17">
        <v>28585</v>
      </c>
      <c r="E77" s="17">
        <v>56674</v>
      </c>
      <c r="F77" s="17">
        <v>60230.8</v>
      </c>
      <c r="G77" s="17">
        <v>28421</v>
      </c>
      <c r="H77" s="17">
        <v>27920.2</v>
      </c>
      <c r="I77" s="17">
        <v>56341.200000000004</v>
      </c>
      <c r="J77" s="17">
        <v>21298</v>
      </c>
      <c r="K77" s="19">
        <v>1</v>
      </c>
      <c r="L77" s="7">
        <v>60.2308</v>
      </c>
      <c r="M77" s="7">
        <v>56.34120000000001</v>
      </c>
      <c r="N77" s="7">
        <v>26.534</v>
      </c>
    </row>
    <row r="78" spans="1:14" ht="12.75">
      <c r="A78">
        <v>2012</v>
      </c>
      <c r="B78" s="17">
        <f>62915563/1000</f>
        <v>62915.563</v>
      </c>
      <c r="C78" s="17">
        <f>27726578/1000</f>
        <v>27726.578</v>
      </c>
      <c r="D78" s="17">
        <f>27717367/1000</f>
        <v>27717.367</v>
      </c>
      <c r="E78" s="17">
        <f>D78+C78</f>
        <v>55443.945</v>
      </c>
      <c r="F78" s="17">
        <f>B78*0.8+B77*0.2</f>
        <v>62913.6504</v>
      </c>
      <c r="G78" s="17">
        <f>C78*0.8+C77*0.2</f>
        <v>27799.062400000003</v>
      </c>
      <c r="H78" s="17">
        <f>D78*0.8+D77*0.2</f>
        <v>27890.8936</v>
      </c>
      <c r="I78" s="17">
        <f>E78*0.8+E77*0.2</f>
        <v>55689.956000000006</v>
      </c>
      <c r="J78" s="17">
        <v>20093</v>
      </c>
      <c r="K78" s="19">
        <v>1.021</v>
      </c>
      <c r="L78" s="7">
        <f>(F78/$K78)/1000</f>
        <v>61.61963800195887</v>
      </c>
      <c r="M78" s="7">
        <f>(I78/$K78)/1000</f>
        <v>54.54452105778649</v>
      </c>
      <c r="N78" s="7">
        <f>(J78/$K78)/1000</f>
        <v>19.679725759059746</v>
      </c>
    </row>
    <row r="79" spans="1:14" ht="12.75">
      <c r="A79">
        <v>2013</v>
      </c>
      <c r="B79" s="17">
        <f>66789942/1000</f>
        <v>66789.942</v>
      </c>
      <c r="C79" s="17">
        <f>27233304/1000</f>
        <v>27233.304</v>
      </c>
      <c r="D79" s="17">
        <f>27855163/1000</f>
        <v>27855.163</v>
      </c>
      <c r="E79" s="17">
        <f>D79+C79</f>
        <v>55088.467000000004</v>
      </c>
      <c r="F79" s="17">
        <f>B79*0.8+B78*0.2</f>
        <v>66015.0662</v>
      </c>
      <c r="G79" s="17">
        <f>C79*0.8+C78*0.2</f>
        <v>27331.958800000004</v>
      </c>
      <c r="H79" s="17">
        <f>D79*0.8+D78*0.2</f>
        <v>27827.6038</v>
      </c>
      <c r="I79" s="17">
        <f>E79*0.8+E78*0.2</f>
        <v>55159.562600000005</v>
      </c>
      <c r="J79" s="17">
        <v>21173</v>
      </c>
      <c r="K79" s="19">
        <v>1.036</v>
      </c>
      <c r="L79" s="7">
        <f>(F79/K79)/1000</f>
        <v>63.72110637065637</v>
      </c>
      <c r="M79" s="7">
        <f>(I79/$K79)/1000</f>
        <v>53.24282104247105</v>
      </c>
      <c r="N79" s="7">
        <f>(J79/$K79)/1000</f>
        <v>20.437258687258687</v>
      </c>
    </row>
    <row r="80" spans="1:14" ht="12.75">
      <c r="A80">
        <v>2014</v>
      </c>
      <c r="B80" s="17">
        <f>66952107/1000</f>
        <v>66952.107</v>
      </c>
      <c r="C80" s="17">
        <f>27201568/1000</f>
        <v>27201.568</v>
      </c>
      <c r="D80" s="17">
        <f>27062605/1000</f>
        <v>27062.605</v>
      </c>
      <c r="E80" s="17">
        <f>D80+C80</f>
        <v>54264.172999999995</v>
      </c>
      <c r="F80" s="17">
        <f>B80*0.8+B79*0.2</f>
        <v>66919.674</v>
      </c>
      <c r="G80" s="17">
        <f>C80*0.8+C79*0.2</f>
        <v>27207.915200000003</v>
      </c>
      <c r="H80" s="17">
        <f>D80*0.8+D79*0.2</f>
        <v>27221.1166</v>
      </c>
      <c r="I80" s="17">
        <f>E80*0.8+E79*0.2</f>
        <v>54429.031800000004</v>
      </c>
      <c r="J80" s="17">
        <v>20378</v>
      </c>
      <c r="K80" s="19">
        <v>1.052</v>
      </c>
      <c r="L80" s="7">
        <f>(F80/K80)/1000</f>
        <v>63.611857414448664</v>
      </c>
      <c r="M80" s="7">
        <f>(I80/$K80)/1000</f>
        <v>51.73862338403042</v>
      </c>
      <c r="N80" s="7">
        <f>(J80/$K80)/1000</f>
        <v>19.370722433460077</v>
      </c>
    </row>
    <row r="81" spans="1:14" ht="12.75">
      <c r="A81">
        <v>2015</v>
      </c>
      <c r="B81" s="17">
        <f>67034926/1000</f>
        <v>67034.926</v>
      </c>
      <c r="C81" s="17">
        <f>27099975/1000</f>
        <v>27099.975</v>
      </c>
      <c r="D81" s="17">
        <f>26590109/1000</f>
        <v>26590.109</v>
      </c>
      <c r="E81" s="17">
        <f>D81+C81</f>
        <v>53690.084</v>
      </c>
      <c r="F81" s="17">
        <f>B81*0.8+B80*0.2</f>
        <v>67018.36220000002</v>
      </c>
      <c r="G81" s="17">
        <f>C81*0.8+C80*0.2</f>
        <v>27120.2936</v>
      </c>
      <c r="H81" s="17">
        <f>D81*0.8+D80*0.2</f>
        <v>26684.608200000002</v>
      </c>
      <c r="I81" s="17">
        <f>E81*0.8+E80*0.2</f>
        <v>53804.90180000001</v>
      </c>
      <c r="J81" s="17">
        <v>19982</v>
      </c>
      <c r="K81" s="19">
        <v>1.054</v>
      </c>
      <c r="L81" s="7">
        <f>(F81/K81)/1000</f>
        <v>63.584783870967755</v>
      </c>
      <c r="M81" s="7">
        <f>(I81/$K81)/1000</f>
        <v>51.04829392789374</v>
      </c>
      <c r="N81" s="7">
        <f>(J81/$K81)/1000</f>
        <v>18.958254269449714</v>
      </c>
    </row>
    <row r="82" spans="1:14" ht="12.75">
      <c r="A82">
        <v>2016</v>
      </c>
      <c r="B82" s="17">
        <f>65320279/1000</f>
        <v>65320.279</v>
      </c>
      <c r="C82" s="17">
        <f>26800252/1000</f>
        <v>26800.252</v>
      </c>
      <c r="D82" s="17">
        <f>28116950/1000</f>
        <v>28116.95</v>
      </c>
      <c r="E82" s="17">
        <f>D82+C82</f>
        <v>54917.202000000005</v>
      </c>
      <c r="F82" s="17">
        <f>B82*0.8+B81*0.2</f>
        <v>65663.2084</v>
      </c>
      <c r="G82" s="17">
        <f>C82*0.8+C81*0.2</f>
        <v>26860.1966</v>
      </c>
      <c r="H82" s="17">
        <f>D82*0.8+D81*0.2</f>
        <v>27811.5818</v>
      </c>
      <c r="I82" s="17">
        <f>E82*0.8+E81*0.2</f>
        <v>54671.77840000001</v>
      </c>
      <c r="J82" s="17">
        <v>19703</v>
      </c>
      <c r="K82" s="19">
        <v>1.067</v>
      </c>
      <c r="L82" s="7">
        <f>(F82/K82)/1000</f>
        <v>61.54002661668229</v>
      </c>
      <c r="M82" s="7">
        <f>(I82/$K82)/1000</f>
        <v>51.23878013120901</v>
      </c>
      <c r="N82" s="7">
        <f>(J82/$K82)/1000</f>
        <v>18.465791940018747</v>
      </c>
    </row>
    <row r="83" spans="1:14" ht="12.75">
      <c r="A83" s="4"/>
      <c r="B83" s="18"/>
      <c r="C83" s="18"/>
      <c r="D83" s="18"/>
      <c r="E83" s="18"/>
      <c r="F83" s="18"/>
      <c r="G83" s="18"/>
      <c r="H83" s="18"/>
      <c r="I83" s="18"/>
      <c r="J83" s="18"/>
      <c r="K83" s="20"/>
      <c r="L83" s="8"/>
      <c r="M83" s="8"/>
      <c r="N83" s="8"/>
    </row>
    <row r="84" spans="1:10" ht="12.75">
      <c r="A84" s="10"/>
      <c r="B84" s="9"/>
      <c r="C84" s="9"/>
      <c r="D84" s="9"/>
      <c r="E84" s="9"/>
      <c r="F84" s="9"/>
      <c r="G84" s="9"/>
      <c r="H84" s="9"/>
      <c r="I84" s="9"/>
      <c r="J84" s="9"/>
    </row>
    <row r="85" spans="1:14" ht="39" customHeight="1">
      <c r="A85" s="24" t="s">
        <v>10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ht="15">
      <c r="A86" s="12" t="s">
        <v>20</v>
      </c>
    </row>
    <row r="87" spans="1:2" ht="12.75">
      <c r="A87" t="s">
        <v>3</v>
      </c>
      <c r="B87" t="s">
        <v>6</v>
      </c>
    </row>
    <row r="88" ht="12.75">
      <c r="B88" t="s">
        <v>4</v>
      </c>
    </row>
    <row r="89" ht="12.75">
      <c r="A89" t="s">
        <v>5</v>
      </c>
    </row>
    <row r="91" ht="12.75">
      <c r="A91" t="s">
        <v>21</v>
      </c>
    </row>
    <row r="92" ht="12.75">
      <c r="A92" s="31" t="s">
        <v>7</v>
      </c>
    </row>
  </sheetData>
  <sheetProtection/>
  <mergeCells count="10">
    <mergeCell ref="L39:N39"/>
    <mergeCell ref="A85:N85"/>
    <mergeCell ref="C39:C40"/>
    <mergeCell ref="B39:B40"/>
    <mergeCell ref="K39:K40"/>
    <mergeCell ref="D39:D40"/>
    <mergeCell ref="G39:G40"/>
    <mergeCell ref="F39:F40"/>
    <mergeCell ref="H39:H40"/>
    <mergeCell ref="J39:J40"/>
  </mergeCells>
  <hyperlinks>
    <hyperlink ref="A92" r:id="rId1" display="http://www.whitehouse.gov/sites/default/files/omb/budget/fy2014/assets/hist.pdf"/>
  </hyperlinks>
  <printOptions/>
  <pageMargins left="0.75" right="0.75" top="1" bottom="1" header="0.5" footer="0.5"/>
  <pageSetup fitToHeight="1" fitToWidth="1" horizontalDpi="600" verticalDpi="600" orientation="landscape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GReynold</dc:creator>
  <cp:keywords/>
  <dc:description/>
  <cp:lastModifiedBy>Zwiefel, Noah</cp:lastModifiedBy>
  <cp:lastPrinted>2019-07-19T19:21:33Z</cp:lastPrinted>
  <dcterms:created xsi:type="dcterms:W3CDTF">2007-03-28T19:51:48Z</dcterms:created>
  <dcterms:modified xsi:type="dcterms:W3CDTF">2019-07-19T19:23:51Z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