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80" yWindow="460" windowWidth="31160" windowHeight="20000" tabRatio="700" activeTab="0"/>
  </bookViews>
  <sheets>
    <sheet name="2016" sheetId="1" r:id="rId1"/>
    <sheet name="2015" sheetId="2" r:id="rId2"/>
    <sheet name="2014" sheetId="3" r:id="rId3"/>
    <sheet name="2013" sheetId="4" r:id="rId4"/>
    <sheet name="2012" sheetId="5" r:id="rId5"/>
    <sheet name="2011" sheetId="6" r:id="rId6"/>
    <sheet name="2010" sheetId="7" r:id="rId7"/>
    <sheet name="2009" sheetId="8" r:id="rId8"/>
    <sheet name="2008" sheetId="9" r:id="rId9"/>
    <sheet name="2007" sheetId="10" r:id="rId10"/>
    <sheet name="2006" sheetId="11" r:id="rId11"/>
    <sheet name="2005" sheetId="12" r:id="rId12"/>
    <sheet name="2004" sheetId="13" r:id="rId13"/>
    <sheet name="2003" sheetId="14" r:id="rId14"/>
    <sheet name="2002" sheetId="15" r:id="rId15"/>
    <sheet name="2001" sheetId="16" r:id="rId16"/>
    <sheet name="2000" sheetId="17" r:id="rId17"/>
  </sheets>
  <definedNames>
    <definedName name="_xlnm.Print_Area" localSheetId="16">'2000'!$A$1:$AA$100</definedName>
    <definedName name="_xlnm.Print_Area" localSheetId="15">'2001'!$A$1:$AA$100</definedName>
    <definedName name="_xlnm.Print_Area" localSheetId="14">'2002'!$A$1:$AA$99</definedName>
    <definedName name="_xlnm.Print_Area" localSheetId="13">'2003'!$A$1:$AA$99</definedName>
    <definedName name="_xlnm.Print_Area" localSheetId="12">'2004'!$A$1:$AA$100</definedName>
    <definedName name="_xlnm.Print_Area" localSheetId="11">'2005'!$A$1:$AA$104</definedName>
    <definedName name="_xlnm.Print_Area" localSheetId="10">'2006'!$A$1:$AA$115</definedName>
    <definedName name="_xlnm.Print_Area" localSheetId="9">'2007'!$A$1:$AA$118</definedName>
    <definedName name="_xlnm.Print_Area" localSheetId="8">'2008'!$A$1:$AA$116</definedName>
    <definedName name="_xlnm.Print_Area" localSheetId="7">'2009'!$A$1:$AA$121</definedName>
    <definedName name="_xlnm.Print_Area" localSheetId="6">'2010'!$A$1:$AA$122</definedName>
    <definedName name="_xlnm.Print_Area" localSheetId="5">'2011'!$A$1:$AA$124</definedName>
    <definedName name="_xlnm.Print_Area" localSheetId="4">'2012'!$A$1:$AA$129</definedName>
    <definedName name="_xlnm.Print_Area" localSheetId="3">'2013'!$A$1:$AA$129</definedName>
    <definedName name="_xlnm.Print_Area" localSheetId="2">'2014'!$A$1:$AA$129</definedName>
    <definedName name="_xlnm.Print_Area" localSheetId="1">'2015'!$A$1:$AA$129</definedName>
    <definedName name="_xlnm.Print_Area" localSheetId="0">'2016'!$A$1:$O$130</definedName>
  </definedNames>
  <calcPr fullCalcOnLoad="1"/>
</workbook>
</file>

<file path=xl/comments10.xml><?xml version="1.0" encoding="utf-8"?>
<comments xmlns="http://schemas.openxmlformats.org/spreadsheetml/2006/main">
  <authors>
    <author>estv-clb</author>
  </authors>
  <commentList>
    <comment ref="M41" authorId="0">
      <text>
        <r>
          <rPr>
            <sz val="8"/>
            <rFont val="Tahoma"/>
            <family val="2"/>
          </rPr>
          <t>imposition du revenu sans l'impôt d'église</t>
        </r>
      </text>
    </comment>
  </commentList>
</comments>
</file>

<file path=xl/comments16.xml><?xml version="1.0" encoding="utf-8"?>
<comments xmlns="http://schemas.openxmlformats.org/spreadsheetml/2006/main">
  <authors>
    <author>brys_b</author>
  </authors>
  <commentList>
    <comment ref="E22" authorId="0">
      <text>
        <r>
          <rPr>
            <b/>
            <sz val="8"/>
            <rFont val="Tahoma"/>
            <family val="2"/>
          </rPr>
          <t>Corporate tax rate for non-listed firms: 37.5%</t>
        </r>
      </text>
    </comment>
  </commentList>
</comments>
</file>

<file path=xl/comments17.xml><?xml version="1.0" encoding="utf-8"?>
<comments xmlns="http://schemas.openxmlformats.org/spreadsheetml/2006/main">
  <authors>
    <author>brys_b</author>
  </authors>
  <commentList>
    <comment ref="E22" authorId="0">
      <text>
        <r>
          <rPr>
            <b/>
            <sz val="8"/>
            <rFont val="Tahoma"/>
            <family val="2"/>
          </rPr>
          <t>Corporate tax rate for non-listed firms: 40%</t>
        </r>
      </text>
    </comment>
  </commentList>
</comments>
</file>

<file path=xl/comments4.xml><?xml version="1.0" encoding="utf-8"?>
<comments xmlns="http://schemas.openxmlformats.org/spreadsheetml/2006/main">
  <authors>
    <author>estv-clb</author>
  </authors>
  <commentList>
    <comment ref="M41" authorId="0">
      <text>
        <r>
          <rPr>
            <sz val="8"/>
            <rFont val="Tahoma"/>
            <family val="2"/>
          </rPr>
          <t>Dividend income is taxed at 50% of the income tax rate for shareholders owning more than 10% of a company.</t>
        </r>
      </text>
    </comment>
  </commentList>
</comments>
</file>

<file path=xl/comments5.xml><?xml version="1.0" encoding="utf-8"?>
<comments xmlns="http://schemas.openxmlformats.org/spreadsheetml/2006/main">
  <authors>
    <author>estv-clb</author>
  </authors>
  <commentList>
    <comment ref="M41" authorId="0">
      <text>
        <r>
          <rPr>
            <sz val="8"/>
            <rFont val="Tahoma"/>
            <family val="2"/>
          </rPr>
          <t>Dividend income is taxed at 50% of the income tax rate for shareholders owning more than 10% of a company.</t>
        </r>
      </text>
    </comment>
  </commentList>
</comments>
</file>

<file path=xl/comments6.xml><?xml version="1.0" encoding="utf-8"?>
<comments xmlns="http://schemas.openxmlformats.org/spreadsheetml/2006/main">
  <authors>
    <author>estv-clb</author>
  </authors>
  <commentList>
    <comment ref="M41" authorId="0">
      <text>
        <r>
          <rPr>
            <sz val="8"/>
            <rFont val="Tahoma"/>
            <family val="2"/>
          </rPr>
          <t>Dividend income is taxed at 50% of the income tax rate for shareholders owning more than 10% of a company.</t>
        </r>
      </text>
    </comment>
  </commentList>
</comments>
</file>

<file path=xl/comments7.xml><?xml version="1.0" encoding="utf-8"?>
<comments xmlns="http://schemas.openxmlformats.org/spreadsheetml/2006/main">
  <authors>
    <author>estv-clb</author>
  </authors>
  <commentList>
    <comment ref="M41" authorId="0">
      <text>
        <r>
          <rPr>
            <sz val="8"/>
            <rFont val="Tahoma"/>
            <family val="2"/>
          </rPr>
          <t>Dividend income is taxed at 50% of the income tax rate for shareholders owning more than 10% of a company.</t>
        </r>
      </text>
    </comment>
  </commentList>
</comments>
</file>

<file path=xl/comments8.xml><?xml version="1.0" encoding="utf-8"?>
<comments xmlns="http://schemas.openxmlformats.org/spreadsheetml/2006/main">
  <authors>
    <author>estv-clb</author>
  </authors>
  <commentList>
    <comment ref="M41" authorId="0">
      <text>
        <r>
          <rPr>
            <sz val="8"/>
            <rFont val="Tahoma"/>
            <family val="2"/>
          </rPr>
          <t>Dividend income is taxed at 50% of the income tax rate for shareholders owning more than 10% of a company.</t>
        </r>
      </text>
    </comment>
  </commentList>
</comments>
</file>

<file path=xl/comments9.xml><?xml version="1.0" encoding="utf-8"?>
<comments xmlns="http://schemas.openxmlformats.org/spreadsheetml/2006/main">
  <authors>
    <author>estv-clb</author>
  </authors>
  <commentList>
    <comment ref="M41" authorId="0">
      <text>
        <r>
          <rPr>
            <sz val="8"/>
            <rFont val="Tahoma"/>
            <family val="2"/>
          </rPr>
          <t>Dividend income is taxed at 50% of the income tax rate for shareholders owning more than 10% of a company.</t>
        </r>
      </text>
    </comment>
  </commentList>
</comments>
</file>

<file path=xl/sharedStrings.xml><?xml version="1.0" encoding="utf-8"?>
<sst xmlns="http://schemas.openxmlformats.org/spreadsheetml/2006/main" count="1575" uniqueCount="136">
  <si>
    <t>Type of dividend treatment</t>
  </si>
  <si>
    <t>Country</t>
  </si>
  <si>
    <t>FI</t>
  </si>
  <si>
    <t>Austria</t>
  </si>
  <si>
    <t>CL</t>
  </si>
  <si>
    <t>Canada</t>
  </si>
  <si>
    <t>PI</t>
  </si>
  <si>
    <t>Czech Republic</t>
  </si>
  <si>
    <t>Denmark</t>
  </si>
  <si>
    <t xml:space="preserve">Germany </t>
  </si>
  <si>
    <t>Greece</t>
  </si>
  <si>
    <t xml:space="preserve">Iceland </t>
  </si>
  <si>
    <t>Ireland</t>
  </si>
  <si>
    <t>Italy</t>
  </si>
  <si>
    <t>Japan</t>
  </si>
  <si>
    <t>Korea</t>
  </si>
  <si>
    <t>Luxembourg</t>
  </si>
  <si>
    <t xml:space="preserve">Mexico </t>
  </si>
  <si>
    <t xml:space="preserve">Netherlands </t>
  </si>
  <si>
    <t>Norway</t>
  </si>
  <si>
    <t>Portugal</t>
  </si>
  <si>
    <t>Slovak Republic</t>
  </si>
  <si>
    <t>Spain</t>
  </si>
  <si>
    <t xml:space="preserve">Sweden    </t>
  </si>
  <si>
    <t>Turkey</t>
  </si>
  <si>
    <t>PIN</t>
  </si>
  <si>
    <t>PL</t>
  </si>
  <si>
    <t>OTH</t>
  </si>
  <si>
    <t>SR</t>
  </si>
  <si>
    <t>MCL</t>
  </si>
  <si>
    <t>NST</t>
  </si>
  <si>
    <t>SR/FI</t>
  </si>
  <si>
    <t>PI</t>
  </si>
  <si>
    <t>CL/MCL</t>
  </si>
  <si>
    <t>-</t>
  </si>
  <si>
    <t>Mexico</t>
  </si>
  <si>
    <t>Poland</t>
  </si>
  <si>
    <t>Hungary</t>
  </si>
  <si>
    <t>CL/PIN</t>
  </si>
  <si>
    <t>CL/FI</t>
  </si>
  <si>
    <t xml:space="preserve"> </t>
  </si>
  <si>
    <t>Chile</t>
  </si>
  <si>
    <t>Slovenia</t>
  </si>
  <si>
    <t>Israel</t>
  </si>
  <si>
    <t>Estonia</t>
  </si>
  <si>
    <r>
      <t xml:space="preserve">Taxation of Corporate and Capital Income (2000): Overall Statutory Tax Rates on Dividend Income </t>
    </r>
    <r>
      <rPr>
        <b/>
        <vertAlign val="superscript"/>
        <sz val="10"/>
        <rFont val="Avenir LT Std 65 Medium"/>
        <family val="2"/>
      </rPr>
      <t>1</t>
    </r>
  </si>
  <si>
    <r>
      <t>CIT rate on dist prof</t>
    </r>
    <r>
      <rPr>
        <b/>
        <vertAlign val="superscript"/>
        <sz val="10"/>
        <rFont val="Avenir LT Std 65 Medium"/>
        <family val="2"/>
      </rPr>
      <t>2</t>
    </r>
  </si>
  <si>
    <r>
      <t>Pre-tax dist prof</t>
    </r>
    <r>
      <rPr>
        <b/>
        <vertAlign val="superscript"/>
        <sz val="10"/>
        <rFont val="Avenir LT Std 65 Medium"/>
        <family val="2"/>
      </rPr>
      <t>3</t>
    </r>
  </si>
  <si>
    <r>
      <t>Dist prof</t>
    </r>
    <r>
      <rPr>
        <b/>
        <vertAlign val="superscript"/>
        <sz val="10"/>
        <rFont val="Avenir LT Std 65 Medium"/>
        <family val="2"/>
      </rPr>
      <t>4</t>
    </r>
  </si>
  <si>
    <r>
      <t>Final withhold-ing tax</t>
    </r>
    <r>
      <rPr>
        <b/>
        <vertAlign val="superscript"/>
        <sz val="10"/>
        <rFont val="Avenir LT Std 65 Medium"/>
        <family val="2"/>
      </rPr>
      <t>5</t>
    </r>
  </si>
  <si>
    <r>
      <t>PIT rate on (grossed-up) dividend</t>
    </r>
    <r>
      <rPr>
        <b/>
        <vertAlign val="superscript"/>
        <sz val="10"/>
        <rFont val="Avenir LT Std 65 Medium"/>
        <family val="2"/>
      </rPr>
      <t>6</t>
    </r>
  </si>
  <si>
    <r>
      <t>Grossed up dividend</t>
    </r>
    <r>
      <rPr>
        <b/>
        <vertAlign val="superscript"/>
        <sz val="10"/>
        <rFont val="Avenir LT Std 65 Medium"/>
        <family val="2"/>
      </rPr>
      <t>7</t>
    </r>
  </si>
  <si>
    <r>
      <t>Imputa-tion rate</t>
    </r>
    <r>
      <rPr>
        <b/>
        <vertAlign val="superscript"/>
        <sz val="10"/>
        <rFont val="Avenir LT Std 65 Medium"/>
        <family val="2"/>
      </rPr>
      <t>8</t>
    </r>
  </si>
  <si>
    <r>
      <t>Imputation / dividend tax credit</t>
    </r>
    <r>
      <rPr>
        <b/>
        <vertAlign val="superscript"/>
        <sz val="10"/>
        <rFont val="Avenir LT Std 65 Medium"/>
        <family val="2"/>
      </rPr>
      <t>9</t>
    </r>
  </si>
  <si>
    <r>
      <t>Net personal tax</t>
    </r>
    <r>
      <rPr>
        <b/>
        <vertAlign val="superscript"/>
        <sz val="10"/>
        <rFont val="Avenir LT Std 65 Medium"/>
        <family val="2"/>
      </rPr>
      <t>10</t>
    </r>
  </si>
  <si>
    <r>
      <t>Overall PIT + CIT rate</t>
    </r>
    <r>
      <rPr>
        <b/>
        <vertAlign val="superscript"/>
        <sz val="10"/>
        <rFont val="Avenir LT Std 65 Medium"/>
        <family val="2"/>
      </rPr>
      <t>11</t>
    </r>
  </si>
  <si>
    <r>
      <t xml:space="preserve">CIT/PIT+CIT </t>
    </r>
    <r>
      <rPr>
        <b/>
        <vertAlign val="superscript"/>
        <sz val="10"/>
        <rFont val="Avenir LT Std 65 Medium"/>
        <family val="2"/>
      </rPr>
      <t>12</t>
    </r>
  </si>
  <si>
    <r>
      <t xml:space="preserve">PIT/PIT+CIT </t>
    </r>
    <r>
      <rPr>
        <b/>
        <vertAlign val="superscript"/>
        <sz val="10"/>
        <rFont val="Avenir LT Std 65 Medium"/>
        <family val="2"/>
      </rPr>
      <t>12</t>
    </r>
  </si>
  <si>
    <r>
      <t>Australia</t>
    </r>
    <r>
      <rPr>
        <b/>
        <vertAlign val="superscript"/>
        <sz val="10"/>
        <rFont val="Avenir LT Std 65 Medium"/>
        <family val="2"/>
      </rPr>
      <t>a</t>
    </r>
  </si>
  <si>
    <r>
      <t>Belgium</t>
    </r>
    <r>
      <rPr>
        <b/>
        <vertAlign val="superscript"/>
        <sz val="10"/>
        <rFont val="Avenir LT Std 65 Medium"/>
        <family val="2"/>
      </rPr>
      <t>b</t>
    </r>
  </si>
  <si>
    <r>
      <t>Finland</t>
    </r>
    <r>
      <rPr>
        <b/>
        <vertAlign val="superscript"/>
        <sz val="10"/>
        <rFont val="Avenir LT Std 65 Medium"/>
        <family val="2"/>
      </rPr>
      <t>c</t>
    </r>
  </si>
  <si>
    <r>
      <t>France</t>
    </r>
    <r>
      <rPr>
        <b/>
        <vertAlign val="superscript"/>
        <sz val="10"/>
        <rFont val="Avenir LT Std 65 Medium"/>
        <family val="2"/>
      </rPr>
      <t>d</t>
    </r>
  </si>
  <si>
    <r>
      <t>Hungary</t>
    </r>
    <r>
      <rPr>
        <b/>
        <vertAlign val="superscript"/>
        <sz val="10"/>
        <rFont val="Avenir LT Std 65 Medium"/>
        <family val="2"/>
      </rPr>
      <t>e</t>
    </r>
  </si>
  <si>
    <r>
      <t>New Zealand</t>
    </r>
    <r>
      <rPr>
        <b/>
        <vertAlign val="superscript"/>
        <sz val="10"/>
        <rFont val="Avenir LT Std 65 Medium"/>
        <family val="2"/>
      </rPr>
      <t>f</t>
    </r>
  </si>
  <si>
    <r>
      <t>Switzerland</t>
    </r>
    <r>
      <rPr>
        <b/>
        <vertAlign val="superscript"/>
        <sz val="10"/>
        <rFont val="Avenir LT Std 65 Medium"/>
        <family val="2"/>
      </rPr>
      <t>g</t>
    </r>
  </si>
  <si>
    <r>
      <t>Turkey</t>
    </r>
    <r>
      <rPr>
        <b/>
        <vertAlign val="superscript"/>
        <sz val="10"/>
        <rFont val="Avenir LT Std 65 Medium"/>
        <family val="2"/>
      </rPr>
      <t>h</t>
    </r>
  </si>
  <si>
    <r>
      <t>United Kingdom</t>
    </r>
    <r>
      <rPr>
        <b/>
        <vertAlign val="superscript"/>
        <sz val="10"/>
        <rFont val="Avenir LT Std 65 Medium"/>
        <family val="2"/>
      </rPr>
      <t>i</t>
    </r>
  </si>
  <si>
    <r>
      <t>United States</t>
    </r>
    <r>
      <rPr>
        <b/>
        <vertAlign val="superscript"/>
        <sz val="10"/>
        <rFont val="Avenir LT Std 65 Medium"/>
        <family val="2"/>
      </rPr>
      <t>j</t>
    </r>
  </si>
  <si>
    <r>
      <t xml:space="preserve">Taxation of Corporate and Capital Income (2001): Overall Statutory Tax Rates on Dividend Income </t>
    </r>
    <r>
      <rPr>
        <b/>
        <vertAlign val="superscript"/>
        <sz val="10"/>
        <rFont val="Avenir LT Std 65 Medium"/>
        <family val="2"/>
      </rPr>
      <t>1</t>
    </r>
  </si>
  <si>
    <r>
      <t>Germany</t>
    </r>
    <r>
      <rPr>
        <b/>
        <vertAlign val="superscript"/>
        <sz val="10"/>
        <rFont val="Avenir LT Std 65 Medium"/>
        <family val="2"/>
      </rPr>
      <t>e</t>
    </r>
  </si>
  <si>
    <r>
      <t>Hungary</t>
    </r>
    <r>
      <rPr>
        <b/>
        <vertAlign val="superscript"/>
        <sz val="10"/>
        <rFont val="Avenir LT Std 65 Medium"/>
        <family val="2"/>
      </rPr>
      <t>f</t>
    </r>
  </si>
  <si>
    <r>
      <t>New Zealand</t>
    </r>
    <r>
      <rPr>
        <b/>
        <vertAlign val="superscript"/>
        <sz val="10"/>
        <rFont val="Avenir LT Std 65 Medium"/>
        <family val="2"/>
      </rPr>
      <t>g</t>
    </r>
  </si>
  <si>
    <r>
      <t>Switzerland</t>
    </r>
    <r>
      <rPr>
        <b/>
        <vertAlign val="superscript"/>
        <sz val="10"/>
        <rFont val="Avenir LT Std 65 Medium"/>
        <family val="2"/>
      </rPr>
      <t>h</t>
    </r>
  </si>
  <si>
    <r>
      <t>Turkey</t>
    </r>
    <r>
      <rPr>
        <b/>
        <vertAlign val="superscript"/>
        <sz val="10"/>
        <rFont val="Avenir LT Std 65 Medium"/>
        <family val="2"/>
      </rPr>
      <t>i</t>
    </r>
  </si>
  <si>
    <r>
      <t>United Kingdom</t>
    </r>
    <r>
      <rPr>
        <b/>
        <vertAlign val="superscript"/>
        <sz val="10"/>
        <rFont val="Avenir LT Std 65 Medium"/>
        <family val="2"/>
      </rPr>
      <t>j</t>
    </r>
  </si>
  <si>
    <r>
      <t>United States</t>
    </r>
    <r>
      <rPr>
        <b/>
        <vertAlign val="superscript"/>
        <sz val="10"/>
        <rFont val="Avenir LT Std 65 Medium"/>
        <family val="2"/>
      </rPr>
      <t>k</t>
    </r>
  </si>
  <si>
    <r>
      <t xml:space="preserve">Taxation of Corporate and Capital Income (2002): Overall Statutory Tax Rates on Dividend Income </t>
    </r>
    <r>
      <rPr>
        <b/>
        <vertAlign val="superscript"/>
        <sz val="10"/>
        <rFont val="Avenir LT Std 65 Medium"/>
        <family val="2"/>
      </rPr>
      <t>1</t>
    </r>
  </si>
  <si>
    <r>
      <t xml:space="preserve">Taxation of Corporate and Capital Income (2003): Overall Statutory Tax Rates on Dividend Income </t>
    </r>
    <r>
      <rPr>
        <b/>
        <vertAlign val="superscript"/>
        <sz val="10"/>
        <rFont val="Avenir LT Std 65 Medium"/>
        <family val="2"/>
      </rPr>
      <t>1</t>
    </r>
  </si>
  <si>
    <r>
      <t>Final with-holding tax</t>
    </r>
    <r>
      <rPr>
        <b/>
        <vertAlign val="superscript"/>
        <sz val="10"/>
        <rFont val="Avenir LT Std 65 Medium"/>
        <family val="2"/>
      </rPr>
      <t>5</t>
    </r>
  </si>
  <si>
    <r>
      <t>Japan</t>
    </r>
    <r>
      <rPr>
        <b/>
        <vertAlign val="superscript"/>
        <sz val="10"/>
        <rFont val="Avenir LT Std 65 Medium"/>
        <family val="2"/>
      </rPr>
      <t>f</t>
    </r>
  </si>
  <si>
    <r>
      <t xml:space="preserve">Taxation of Corporate and Capital Income (2004): Overall Statutory Tax Rates on Dividend Income </t>
    </r>
    <r>
      <rPr>
        <b/>
        <vertAlign val="superscript"/>
        <sz val="10"/>
        <rFont val="Avenir LT Std 65 Medium"/>
        <family val="2"/>
      </rPr>
      <t>1</t>
    </r>
  </si>
  <si>
    <r>
      <t xml:space="preserve">Taxation of Corporate and Capital Income (2005): Overall Statutory Tax Rates on Dividend Income </t>
    </r>
    <r>
      <rPr>
        <b/>
        <vertAlign val="superscript"/>
        <sz val="10"/>
        <rFont val="Avenir LT Std 65 Medium"/>
        <family val="2"/>
      </rPr>
      <t>1</t>
    </r>
  </si>
  <si>
    <r>
      <t>Italy</t>
    </r>
    <r>
      <rPr>
        <b/>
        <vertAlign val="superscript"/>
        <sz val="10"/>
        <rFont val="Avenir LT Std 65 Medium"/>
        <family val="2"/>
      </rPr>
      <t>f</t>
    </r>
  </si>
  <si>
    <r>
      <t>Japan</t>
    </r>
    <r>
      <rPr>
        <b/>
        <vertAlign val="superscript"/>
        <sz val="10"/>
        <rFont val="Avenir LT Std 65 Medium"/>
        <family val="2"/>
      </rPr>
      <t>g</t>
    </r>
  </si>
  <si>
    <r>
      <t>New Zealand</t>
    </r>
    <r>
      <rPr>
        <b/>
        <vertAlign val="superscript"/>
        <sz val="10"/>
        <rFont val="Avenir LT Std 65 Medium"/>
        <family val="2"/>
      </rPr>
      <t>h</t>
    </r>
  </si>
  <si>
    <r>
      <t>Switzerland</t>
    </r>
    <r>
      <rPr>
        <b/>
        <vertAlign val="superscript"/>
        <sz val="10"/>
        <rFont val="Avenir LT Std 65 Medium"/>
        <family val="2"/>
      </rPr>
      <t>i</t>
    </r>
  </si>
  <si>
    <r>
      <t xml:space="preserve">Taxation of Corporate and Capital Income (2006): Overall Statutory Tax Rates on Dividend Income </t>
    </r>
    <r>
      <rPr>
        <b/>
        <vertAlign val="superscript"/>
        <sz val="10"/>
        <rFont val="Avenir LT Std 65 Medium"/>
        <family val="2"/>
      </rPr>
      <t>1</t>
    </r>
  </si>
  <si>
    <r>
      <t>Canada</t>
    </r>
    <r>
      <rPr>
        <b/>
        <vertAlign val="superscript"/>
        <sz val="10"/>
        <rFont val="Avenir LT Std 65 Medium"/>
        <family val="2"/>
      </rPr>
      <t>c</t>
    </r>
  </si>
  <si>
    <r>
      <t>Finland</t>
    </r>
    <r>
      <rPr>
        <b/>
        <vertAlign val="superscript"/>
        <sz val="10"/>
        <rFont val="Avenir LT Std 65 Medium"/>
        <family val="2"/>
      </rPr>
      <t>d</t>
    </r>
  </si>
  <si>
    <r>
      <t>France</t>
    </r>
    <r>
      <rPr>
        <b/>
        <vertAlign val="superscript"/>
        <sz val="10"/>
        <rFont val="Avenir LT Std 65 Medium"/>
        <family val="2"/>
      </rPr>
      <t>e</t>
    </r>
  </si>
  <si>
    <r>
      <t>Italy</t>
    </r>
    <r>
      <rPr>
        <b/>
        <vertAlign val="superscript"/>
        <sz val="10"/>
        <rFont val="Avenir LT Std 65 Medium"/>
        <family val="2"/>
      </rPr>
      <t>g</t>
    </r>
  </si>
  <si>
    <r>
      <t>Japan</t>
    </r>
    <r>
      <rPr>
        <b/>
        <vertAlign val="superscript"/>
        <sz val="10"/>
        <rFont val="Avenir LT Std 65 Medium"/>
        <family val="2"/>
      </rPr>
      <t>h</t>
    </r>
  </si>
  <si>
    <r>
      <t>New Zealand</t>
    </r>
    <r>
      <rPr>
        <b/>
        <vertAlign val="superscript"/>
        <sz val="10"/>
        <rFont val="Avenir LT Std 65 Medium"/>
        <family val="2"/>
      </rPr>
      <t>i</t>
    </r>
  </si>
  <si>
    <r>
      <t>Norway</t>
    </r>
    <r>
      <rPr>
        <b/>
        <vertAlign val="superscript"/>
        <sz val="10"/>
        <rFont val="Avenir LT Std 65 Medium"/>
        <family val="2"/>
      </rPr>
      <t>j</t>
    </r>
  </si>
  <si>
    <r>
      <t>Switzerland</t>
    </r>
    <r>
      <rPr>
        <b/>
        <vertAlign val="superscript"/>
        <sz val="10"/>
        <rFont val="Avenir LT Std 65 Medium"/>
        <family val="2"/>
      </rPr>
      <t>k</t>
    </r>
  </si>
  <si>
    <r>
      <t>Turkey</t>
    </r>
    <r>
      <rPr>
        <b/>
        <vertAlign val="superscript"/>
        <sz val="10"/>
        <rFont val="Avenir LT Std 65 Medium"/>
        <family val="2"/>
      </rPr>
      <t>l</t>
    </r>
  </si>
  <si>
    <r>
      <t>United Kingdom</t>
    </r>
    <r>
      <rPr>
        <b/>
        <vertAlign val="superscript"/>
        <sz val="10"/>
        <rFont val="Avenir LT Std 65 Medium"/>
        <family val="2"/>
      </rPr>
      <t>m</t>
    </r>
  </si>
  <si>
    <r>
      <t>United States</t>
    </r>
    <r>
      <rPr>
        <b/>
        <vertAlign val="superscript"/>
        <sz val="10"/>
        <rFont val="Avenir LT Std 65 Medium"/>
        <family val="2"/>
      </rPr>
      <t>n</t>
    </r>
  </si>
  <si>
    <r>
      <t xml:space="preserve">Taxation of Corporate and Capital Income (2007): Overall Statutory Tax Rates on Dividend Income </t>
    </r>
    <r>
      <rPr>
        <b/>
        <vertAlign val="superscript"/>
        <sz val="10"/>
        <rFont val="Avenir LT Std 65 Medium"/>
        <family val="2"/>
      </rPr>
      <t>1</t>
    </r>
  </si>
  <si>
    <r>
      <t>Netherlands</t>
    </r>
    <r>
      <rPr>
        <b/>
        <vertAlign val="superscript"/>
        <sz val="10"/>
        <rFont val="Avenir LT Std 65 Medium"/>
        <family val="2"/>
      </rPr>
      <t>i</t>
    </r>
  </si>
  <si>
    <r>
      <t>New Zealand</t>
    </r>
    <r>
      <rPr>
        <b/>
        <vertAlign val="superscript"/>
        <sz val="10"/>
        <rFont val="Avenir LT Std 65 Medium"/>
        <family val="2"/>
      </rPr>
      <t>j</t>
    </r>
  </si>
  <si>
    <r>
      <t>Norway</t>
    </r>
    <r>
      <rPr>
        <b/>
        <vertAlign val="superscript"/>
        <sz val="10"/>
        <rFont val="Avenir LT Std 65 Medium"/>
        <family val="2"/>
      </rPr>
      <t>k</t>
    </r>
  </si>
  <si>
    <r>
      <t>Spain</t>
    </r>
    <r>
      <rPr>
        <b/>
        <vertAlign val="superscript"/>
        <sz val="10"/>
        <rFont val="Avenir LT Std 65 Medium"/>
        <family val="2"/>
      </rPr>
      <t>l</t>
    </r>
  </si>
  <si>
    <r>
      <t>Switzerland</t>
    </r>
    <r>
      <rPr>
        <b/>
        <vertAlign val="superscript"/>
        <sz val="10"/>
        <rFont val="Avenir LT Std 65 Medium"/>
        <family val="2"/>
      </rPr>
      <t>m</t>
    </r>
  </si>
  <si>
    <r>
      <t>United Kingdom</t>
    </r>
    <r>
      <rPr>
        <b/>
        <vertAlign val="superscript"/>
        <sz val="10"/>
        <rFont val="Avenir LT Std 65 Medium"/>
        <family val="2"/>
      </rPr>
      <t>n</t>
    </r>
  </si>
  <si>
    <r>
      <t>United States</t>
    </r>
    <r>
      <rPr>
        <b/>
        <vertAlign val="superscript"/>
        <sz val="10"/>
        <rFont val="Avenir LT Std 65 Medium"/>
        <family val="2"/>
      </rPr>
      <t>o</t>
    </r>
  </si>
  <si>
    <r>
      <t xml:space="preserve">Taxation of Corporate and Capital Income (2008): Overall Statutory Tax Rates on Dividend Income </t>
    </r>
    <r>
      <rPr>
        <b/>
        <vertAlign val="superscript"/>
        <sz val="10"/>
        <rFont val="Avenir LT Std 65 Medium"/>
        <family val="2"/>
      </rPr>
      <t>1</t>
    </r>
  </si>
  <si>
    <r>
      <t xml:space="preserve">Taxation of Corporate and Capital Income (2009): Overall Statutory Tax Rates on Dividend Income </t>
    </r>
    <r>
      <rPr>
        <b/>
        <vertAlign val="superscript"/>
        <sz val="10"/>
        <rFont val="Avenir LT Std 65 Medium"/>
        <family val="2"/>
      </rPr>
      <t>1</t>
    </r>
  </si>
  <si>
    <r>
      <t>Iceland</t>
    </r>
    <r>
      <rPr>
        <b/>
        <vertAlign val="superscript"/>
        <sz val="10"/>
        <rFont val="Avenir LT Std 65 Medium"/>
        <family val="2"/>
      </rPr>
      <t>f</t>
    </r>
  </si>
  <si>
    <r>
      <t>Portugal</t>
    </r>
    <r>
      <rPr>
        <b/>
        <vertAlign val="superscript"/>
        <sz val="10"/>
        <rFont val="Avenir LT Std 65 Medium"/>
        <family val="2"/>
      </rPr>
      <t>l</t>
    </r>
  </si>
  <si>
    <r>
      <t>Spain</t>
    </r>
    <r>
      <rPr>
        <b/>
        <vertAlign val="superscript"/>
        <sz val="10"/>
        <rFont val="Avenir LT Std 65 Medium"/>
        <family val="2"/>
      </rPr>
      <t>m</t>
    </r>
  </si>
  <si>
    <r>
      <t>Switzerland</t>
    </r>
    <r>
      <rPr>
        <b/>
        <vertAlign val="superscript"/>
        <sz val="10"/>
        <rFont val="Avenir LT Std 65 Medium"/>
        <family val="2"/>
      </rPr>
      <t>n</t>
    </r>
  </si>
  <si>
    <r>
      <t>United Kingdom</t>
    </r>
    <r>
      <rPr>
        <b/>
        <vertAlign val="superscript"/>
        <sz val="10"/>
        <rFont val="Avenir LT Std 65 Medium"/>
        <family val="2"/>
      </rPr>
      <t>o</t>
    </r>
  </si>
  <si>
    <r>
      <t>United States</t>
    </r>
    <r>
      <rPr>
        <b/>
        <vertAlign val="superscript"/>
        <sz val="10"/>
        <rFont val="Avenir LT Std 65 Medium"/>
        <family val="2"/>
      </rPr>
      <t>p</t>
    </r>
  </si>
  <si>
    <r>
      <t xml:space="preserve">Taxation of Corporate and Capital Income (2010): Overall Statutory Tax Rates on Dividend Income </t>
    </r>
    <r>
      <rPr>
        <b/>
        <vertAlign val="superscript"/>
        <sz val="10"/>
        <rFont val="Avenir LT Std 65 Medium"/>
        <family val="2"/>
      </rPr>
      <t>1</t>
    </r>
  </si>
  <si>
    <r>
      <t>Japan</t>
    </r>
    <r>
      <rPr>
        <b/>
        <vertAlign val="superscript"/>
        <sz val="10"/>
        <rFont val="Avenir LT Std 65 Medium"/>
        <family val="2"/>
      </rPr>
      <t xml:space="preserve">h </t>
    </r>
    <r>
      <rPr>
        <b/>
        <sz val="10"/>
        <rFont val="Avenir LT Std 65 Medium"/>
        <family val="2"/>
      </rPr>
      <t>(2008 data)</t>
    </r>
  </si>
  <si>
    <r>
      <t xml:space="preserve">Taxation of Corporate and Capital Income (2011): Overall Statutory Tax Rates on Dividend Income </t>
    </r>
    <r>
      <rPr>
        <b/>
        <vertAlign val="superscript"/>
        <sz val="10"/>
        <rFont val="Avenir LT Std 65 Medium"/>
        <family val="2"/>
      </rPr>
      <t>1</t>
    </r>
  </si>
  <si>
    <r>
      <t xml:space="preserve">Taxation of Corporate and Capital Income (2012): Overall Statutory Tax Rates on Dividend Income </t>
    </r>
    <r>
      <rPr>
        <b/>
        <vertAlign val="superscript"/>
        <sz val="10"/>
        <rFont val="Avenir LT Std 65 Medium"/>
        <family val="2"/>
      </rPr>
      <t>1</t>
    </r>
  </si>
  <si>
    <r>
      <t xml:space="preserve">Taxation of Corporate and Capital Income (2013): Overall Statutory Tax Rates on Dividend Income </t>
    </r>
    <r>
      <rPr>
        <b/>
        <vertAlign val="superscript"/>
        <sz val="10"/>
        <rFont val="Avenir LT Std 65 Medium"/>
        <family val="2"/>
      </rPr>
      <t>1</t>
    </r>
  </si>
  <si>
    <r>
      <t>Greece</t>
    </r>
    <r>
      <rPr>
        <b/>
        <vertAlign val="superscript"/>
        <sz val="10"/>
        <rFont val="Avenir LT Std 65 Medium"/>
        <family val="2"/>
      </rPr>
      <t>f</t>
    </r>
  </si>
  <si>
    <r>
      <t>Iceland</t>
    </r>
    <r>
      <rPr>
        <b/>
        <vertAlign val="superscript"/>
        <sz val="10"/>
        <rFont val="Avenir LT Std 65 Medium"/>
        <family val="2"/>
      </rPr>
      <t>g</t>
    </r>
  </si>
  <si>
    <r>
      <t>Italy</t>
    </r>
    <r>
      <rPr>
        <b/>
        <vertAlign val="superscript"/>
        <sz val="10"/>
        <rFont val="Avenir LT Std 65 Medium"/>
        <family val="2"/>
      </rPr>
      <t>h</t>
    </r>
  </si>
  <si>
    <r>
      <t>Japan</t>
    </r>
    <r>
      <rPr>
        <b/>
        <vertAlign val="superscript"/>
        <sz val="10"/>
        <rFont val="Avenir LT Std 65 Medium"/>
        <family val="2"/>
      </rPr>
      <t>i</t>
    </r>
  </si>
  <si>
    <r>
      <t>Netherlands</t>
    </r>
    <r>
      <rPr>
        <b/>
        <vertAlign val="superscript"/>
        <sz val="10"/>
        <rFont val="Avenir LT Std 65 Medium"/>
        <family val="2"/>
      </rPr>
      <t>j</t>
    </r>
  </si>
  <si>
    <r>
      <t>New Zealand</t>
    </r>
    <r>
      <rPr>
        <b/>
        <vertAlign val="superscript"/>
        <sz val="10"/>
        <rFont val="Avenir LT Std 65 Medium"/>
        <family val="2"/>
      </rPr>
      <t>k</t>
    </r>
  </si>
  <si>
    <r>
      <t>Norway</t>
    </r>
    <r>
      <rPr>
        <b/>
        <vertAlign val="superscript"/>
        <sz val="10"/>
        <rFont val="Avenir LT Std 65 Medium"/>
        <family val="2"/>
      </rPr>
      <t>l</t>
    </r>
  </si>
  <si>
    <r>
      <t>Portugal</t>
    </r>
    <r>
      <rPr>
        <b/>
        <vertAlign val="superscript"/>
        <sz val="10"/>
        <rFont val="Avenir LT Std 65 Medium"/>
        <family val="2"/>
      </rPr>
      <t>m</t>
    </r>
  </si>
  <si>
    <r>
      <t>Spain</t>
    </r>
    <r>
      <rPr>
        <b/>
        <vertAlign val="superscript"/>
        <sz val="10"/>
        <rFont val="Avenir LT Std 65 Medium"/>
        <family val="2"/>
      </rPr>
      <t>n</t>
    </r>
  </si>
  <si>
    <r>
      <t>Switzerland</t>
    </r>
    <r>
      <rPr>
        <b/>
        <vertAlign val="superscript"/>
        <sz val="10"/>
        <rFont val="Avenir LT Std 65 Medium"/>
        <family val="2"/>
      </rPr>
      <t>o</t>
    </r>
  </si>
  <si>
    <r>
      <t>United Kingdom</t>
    </r>
    <r>
      <rPr>
        <b/>
        <vertAlign val="superscript"/>
        <sz val="10"/>
        <rFont val="Avenir LT Std 65 Medium"/>
        <family val="2"/>
      </rPr>
      <t>p</t>
    </r>
  </si>
  <si>
    <r>
      <t>United States</t>
    </r>
    <r>
      <rPr>
        <b/>
        <vertAlign val="superscript"/>
        <sz val="10"/>
        <rFont val="Avenir LT Std 65 Medium"/>
        <family val="2"/>
      </rPr>
      <t>q</t>
    </r>
  </si>
  <si>
    <r>
      <t xml:space="preserve">Taxation of Corporate and Capital Income (2014): Overall Statutory Tax Rates on Dividend Income </t>
    </r>
    <r>
      <rPr>
        <b/>
        <vertAlign val="superscript"/>
        <sz val="10"/>
        <rFont val="Avenir LT Std 65 Medium"/>
        <family val="2"/>
      </rPr>
      <t>1</t>
    </r>
  </si>
  <si>
    <r>
      <t xml:space="preserve">Taxation of Corporate and Capital Income (2015): Overall Statutory Tax Rates on Dividend Income </t>
    </r>
    <r>
      <rPr>
        <b/>
        <vertAlign val="superscript"/>
        <sz val="10"/>
        <rFont val="Avenir LT Std 65 Medium"/>
        <family val="2"/>
      </rPr>
      <t>1</t>
    </r>
  </si>
  <si>
    <t>..</t>
  </si>
  <si>
    <t>Latvia</t>
  </si>
  <si>
    <r>
      <t xml:space="preserve">Taxation of Corporate and Capital Income (2016): Overall Statutory Tax Rates on Dividend Income </t>
    </r>
    <r>
      <rPr>
        <b/>
        <vertAlign val="superscript"/>
        <sz val="10"/>
        <rFont val="Avenir LT Std 65 Medium"/>
        <family val="2"/>
      </rPr>
      <t>1</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</si>
</sst>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409]d\-mmm\-yy;@"/>
    <numFmt numFmtId="176" formatCode="&quot;Yes&quot;;&quot;Yes&quot;;&quot;No&quot;"/>
    <numFmt numFmtId="177" formatCode="&quot;True&quot;;&quot;True&quot;;&quot;False&quot;"/>
    <numFmt numFmtId="178" formatCode="&quot;On&quot;;&quot;On&quot;;&quot;Off&quot;"/>
    <numFmt numFmtId="179" formatCode="[$€-2]\ #,##0.00_);[Red]\([$€-2]\ #,##0.00\)"/>
    <numFmt numFmtId="180" formatCode="#,##0.00_ ;\-#,##0.00\ "/>
  </numFmts>
  <fonts count="48">
    <font>
      <sz val="10"/>
      <name val="Arial"/>
      <family val="0"/>
    </font>
    <font>
      <sz val="11"/>
      <color indexed="8"/>
      <name val="Calibri"/>
      <family val="2"/>
    </font>
    <font>
      <sz val="8"/>
      <name val="Tahoma"/>
      <family val="2"/>
    </font>
    <font>
      <b/>
      <sz val="8"/>
      <name val="Tahoma"/>
      <family val="2"/>
    </font>
    <font>
      <b/>
      <sz val="10"/>
      <name val="Avenir LT Std 65 Medium"/>
      <family val="2"/>
    </font>
    <font>
      <sz val="10"/>
      <name val="Avenir LT Std 65 Medium"/>
      <family val="2"/>
    </font>
    <font>
      <b/>
      <sz val="10"/>
      <color indexed="57"/>
      <name val="Avenir LT Std 65 Medium"/>
      <family val="2"/>
    </font>
    <font>
      <b/>
      <vertAlign val="superscript"/>
      <sz val="10"/>
      <name val="Avenir LT Std 65 Medium"/>
      <family val="2"/>
    </font>
    <font>
      <sz val="10"/>
      <color indexed="10"/>
      <name val="Avenir LT Std 65 Medium"/>
      <family val="2"/>
    </font>
    <font>
      <vertAlign val="superscript"/>
      <sz val="10"/>
      <name val="Avenir LT Std 65 Medium"/>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venir LT Std 65 Medium"/>
      <family val="0"/>
    </font>
    <font>
      <sz val="10"/>
      <color indexed="8"/>
      <name val="Avenir LT Std 65 Medium"/>
      <family val="0"/>
    </font>
    <font>
      <u val="single"/>
      <sz val="10"/>
      <color indexed="8"/>
      <name val="Avenir LT Std 65 Medium"/>
      <family val="0"/>
    </font>
    <font>
      <i/>
      <sz val="10"/>
      <color indexed="8"/>
      <name val="Avenir LT Std 65 Medium"/>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3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172" fontId="0" fillId="0" borderId="0" applyFont="0">
      <alignment horizontal="center"/>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Alignment="1">
      <alignment/>
    </xf>
    <xf numFmtId="175" fontId="4" fillId="0"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xf>
    <xf numFmtId="0" fontId="5"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10" xfId="0" applyFont="1" applyFill="1" applyBorder="1" applyAlignment="1">
      <alignment horizontal="center"/>
    </xf>
    <xf numFmtId="0" fontId="5" fillId="0" borderId="0" xfId="0" applyFont="1" applyFill="1" applyAlignment="1">
      <alignment horizontal="center"/>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4" fillId="0" borderId="0" xfId="0" applyFont="1" applyFill="1" applyAlignment="1">
      <alignment/>
    </xf>
    <xf numFmtId="0" fontId="5" fillId="0" borderId="0" xfId="0" applyFont="1" applyFill="1" applyAlignment="1">
      <alignment horizontal="center" wrapText="1"/>
    </xf>
    <xf numFmtId="0" fontId="4" fillId="0" borderId="0" xfId="0"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wrapText="1"/>
    </xf>
    <xf numFmtId="0" fontId="5" fillId="0" borderId="11" xfId="0" applyFont="1" applyFill="1" applyBorder="1" applyAlignment="1">
      <alignment horizontal="center"/>
    </xf>
    <xf numFmtId="172" fontId="5" fillId="0" borderId="0" xfId="0" applyNumberFormat="1" applyFont="1" applyFill="1" applyAlignment="1">
      <alignment horizontal="center"/>
    </xf>
    <xf numFmtId="172" fontId="5" fillId="0" borderId="0" xfId="0" applyNumberFormat="1" applyFont="1" applyFill="1" applyAlignment="1">
      <alignment/>
    </xf>
    <xf numFmtId="1" fontId="5" fillId="0" borderId="0" xfId="0" applyNumberFormat="1" applyFont="1" applyFill="1" applyAlignment="1">
      <alignment horizontal="center"/>
    </xf>
    <xf numFmtId="172" fontId="5"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172" fontId="5" fillId="0" borderId="0" xfId="0" applyNumberFormat="1" applyFont="1" applyFill="1" applyAlignment="1">
      <alignment horizontal="right"/>
    </xf>
    <xf numFmtId="172" fontId="8" fillId="0" borderId="0" xfId="0" applyNumberFormat="1" applyFont="1" applyFill="1" applyAlignment="1">
      <alignment/>
    </xf>
    <xf numFmtId="0" fontId="8" fillId="0" borderId="0" xfId="0" applyFont="1" applyFill="1" applyAlignment="1">
      <alignment/>
    </xf>
    <xf numFmtId="0" fontId="5" fillId="0" borderId="10" xfId="0" applyFont="1" applyFill="1" applyBorder="1" applyAlignment="1">
      <alignment/>
    </xf>
    <xf numFmtId="0" fontId="5" fillId="0" borderId="10" xfId="0" applyFont="1" applyFill="1" applyBorder="1" applyAlignment="1">
      <alignment/>
    </xf>
    <xf numFmtId="2" fontId="5" fillId="0" borderId="0" xfId="0" applyNumberFormat="1" applyFont="1" applyFill="1" applyAlignment="1">
      <alignment/>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1" fontId="5" fillId="0" borderId="0" xfId="0" applyNumberFormat="1" applyFont="1" applyFill="1" applyAlignment="1">
      <alignment/>
    </xf>
    <xf numFmtId="172" fontId="4" fillId="0" borderId="0" xfId="61" applyFont="1" applyAlignment="1">
      <alignment horizontal="left"/>
      <protection/>
    </xf>
    <xf numFmtId="172" fontId="5" fillId="0" borderId="0" xfId="61" applyFont="1">
      <alignment horizontal="center"/>
      <protection/>
    </xf>
    <xf numFmtId="172" fontId="5" fillId="0" borderId="0" xfId="61" applyFont="1" applyAlignment="1">
      <alignment horizontal="center"/>
      <protection/>
    </xf>
    <xf numFmtId="1" fontId="5" fillId="0" borderId="0" xfId="61" applyNumberFormat="1" applyFont="1">
      <alignment horizontal="center"/>
      <protection/>
    </xf>
    <xf numFmtId="173" fontId="5" fillId="0" borderId="0" xfId="61" applyNumberFormat="1" applyFont="1" applyFill="1">
      <alignment horizontal="center"/>
      <protection/>
    </xf>
    <xf numFmtId="172" fontId="5" fillId="0" borderId="0" xfId="61" applyFont="1" applyFill="1" applyAlignment="1">
      <alignment horizontal="center"/>
      <protection/>
    </xf>
    <xf numFmtId="172" fontId="5" fillId="0" borderId="0" xfId="61" applyFont="1" applyFill="1">
      <alignment horizontal="center"/>
      <protection/>
    </xf>
    <xf numFmtId="1" fontId="5" fillId="0" borderId="0" xfId="61" applyNumberFormat="1" applyFont="1" applyFill="1">
      <alignment horizontal="center"/>
      <protection/>
    </xf>
    <xf numFmtId="172" fontId="4" fillId="0" borderId="0" xfId="61" applyFont="1" applyFill="1" applyAlignment="1">
      <alignment horizontal="left"/>
      <protection/>
    </xf>
    <xf numFmtId="173" fontId="5" fillId="0" borderId="0" xfId="61" applyNumberFormat="1" applyFont="1">
      <alignment horizontal="center"/>
      <protection/>
    </xf>
    <xf numFmtId="174" fontId="5" fillId="0" borderId="0" xfId="61" applyNumberFormat="1" applyFont="1">
      <alignment horizontal="center"/>
      <protection/>
    </xf>
    <xf numFmtId="0" fontId="5" fillId="0" borderId="0" xfId="61" applyNumberFormat="1" applyFont="1" applyFill="1" applyAlignment="1">
      <alignment horizontal="center"/>
      <protection/>
    </xf>
    <xf numFmtId="0" fontId="5" fillId="0" borderId="0" xfId="61" applyNumberFormat="1" applyFont="1" applyFill="1">
      <alignment horizontal="center"/>
      <protection/>
    </xf>
    <xf numFmtId="0" fontId="5" fillId="0" borderId="0" xfId="0" applyFont="1" applyAlignment="1">
      <alignment/>
    </xf>
    <xf numFmtId="0" fontId="9" fillId="0" borderId="0" xfId="0" applyFont="1" applyFill="1" applyAlignment="1">
      <alignment/>
    </xf>
    <xf numFmtId="172" fontId="9" fillId="0" borderId="0" xfId="61" applyFont="1" applyFill="1">
      <alignment horizontal="center"/>
      <protection/>
    </xf>
    <xf numFmtId="172" fontId="9" fillId="0" borderId="0" xfId="61" applyFont="1">
      <alignment horizontal="center"/>
      <protection/>
    </xf>
    <xf numFmtId="0" fontId="4" fillId="0" borderId="0" xfId="0" applyFont="1" applyFill="1" applyBorder="1" applyAlignment="1">
      <alignment horizontal="center" wrapText="1"/>
    </xf>
    <xf numFmtId="0" fontId="5" fillId="0" borderId="0" xfId="0" applyFont="1" applyFill="1" applyAlignment="1">
      <alignment horizontal="center" wrapText="1"/>
    </xf>
    <xf numFmtId="0" fontId="5" fillId="0" borderId="0" xfId="0" applyFont="1"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Note 2" xfId="57"/>
    <cellStyle name="Note 3" xfId="58"/>
    <cellStyle name="Output" xfId="59"/>
    <cellStyle name="Percent" xfId="60"/>
    <cellStyle name="Table_Centre"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133350</xdr:rowOff>
    </xdr:from>
    <xdr:to>
      <xdr:col>14</xdr:col>
      <xdr:colOff>0</xdr:colOff>
      <xdr:row>129</xdr:row>
      <xdr:rowOff>76200</xdr:rowOff>
    </xdr:to>
    <xdr:sp>
      <xdr:nvSpPr>
        <xdr:cNvPr id="1" name="Text Box 1"/>
        <xdr:cNvSpPr txBox="1">
          <a:spLocks noChangeArrowheads="1"/>
        </xdr:cNvSpPr>
      </xdr:nvSpPr>
      <xdr:spPr>
        <a:xfrm>
          <a:off x="0" y="9705975"/>
          <a:ext cx="8391525" cy="13220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a:t>
          </a:r>
          <a:r>
            <a:rPr lang="en-US" cap="none" sz="1000" b="0" i="0" u="none" baseline="0">
              <a:solidFill>
                <a:srgbClr val="000000"/>
              </a:solidFill>
              <a:latin typeface="Avenir LT Std 65 Medium"/>
              <a:ea typeface="Avenir LT Std 65 Medium"/>
              <a:cs typeface="Avenir LT Std 65 Medium"/>
            </a:rPr>
            <a:t>gross-up</a:t>
          </a:r>
          <a:r>
            <a:rPr lang="en-US" cap="none" sz="1000" b="0" i="0" u="none" baseline="0">
              <a:solidFill>
                <a:srgbClr val="000000"/>
              </a:solidFill>
              <a:latin typeface="Avenir LT Std 65 Medium"/>
              <a:ea typeface="Avenir LT Std 65 Medium"/>
              <a:cs typeface="Avenir LT Std 65 Medium"/>
            </a:rPr>
            <a:t>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
</a:t>
          </a:r>
          <a:r>
            <a:rPr lang="en-US" cap="none" sz="1000" b="0" i="0" u="none" baseline="0">
              <a:solidFill>
                <a:srgbClr val="000000"/>
              </a:solidFill>
              <a:latin typeface="Avenir LT Std 65 Medium"/>
              <a:ea typeface="Avenir LT Std 65 Medium"/>
              <a:cs typeface="Avenir LT Std 65 Medium"/>
            </a:rPr>
            <a:t>(b) The 25% (withholding) personal income tax is final, if the shareholder so chooses. The lower the return on equity before tax, the lower the effective tax rate due to the allowance for corporate equity (ACE). E.g. the effective corporate tax rate is only half the nominal (statutory) corporate income tax rate when the return on equity before tax is twice the notional interest rate (2.742% in 2013).
</a:t>
          </a:r>
          <a:r>
            <a:rPr lang="en-US" cap="none" sz="1000" b="0" i="0" u="none" baseline="0">
              <a:solidFill>
                <a:srgbClr val="000000"/>
              </a:solidFill>
              <a:latin typeface="Avenir LT Std 65 Medium"/>
              <a:ea typeface="Avenir LT Std 65 Medium"/>
              <a:cs typeface="Avenir LT Std 65 Medium"/>
            </a:rPr>
            <a:t>(c)</a:t>
          </a:r>
          <a:r>
            <a:rPr lang="en-US" cap="none" sz="1000" b="0" i="0" u="none" baseline="0">
              <a:solidFill>
                <a:srgbClr val="000000"/>
              </a:solidFill>
              <a:latin typeface="Avenir LT Std 65 Medium"/>
              <a:ea typeface="Avenir LT Std 65 Medium"/>
              <a:cs typeface="Avenir LT Std 65 Medium"/>
            </a:rPr>
            <a:t> E</a:t>
          </a:r>
          <a:r>
            <a:rPr lang="en-US" cap="none" sz="1000" b="0" i="0" u="none" baseline="0">
              <a:solidFill>
                <a:srgbClr val="000000"/>
              </a:solidFill>
              <a:latin typeface="Avenir LT Std 65 Medium"/>
              <a:ea typeface="Avenir LT Std 65 Medium"/>
              <a:cs typeface="Avenir LT Std 65 Medium"/>
            </a:rPr>
            <a:t>ffective 2006, Canada introduced an enhanced gross-up and dividend tax credit regime for dividends distributed by large corporations, which are subject to a higher statutory rate than small businesses.  As a result, Canada is operating a dual rate gross up and dividend tax credit system that is providing full imputation at the federal level (a number of provinces responded to the federal initiative by adjusting their own DTC rates). Rates presented are those applicable to large corporation dividends.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(d) </a:t>
          </a:r>
          <a:r>
            <a:rPr lang="en-US" cap="none" sz="1000" b="0" i="0" u="none" baseline="0">
              <a:solidFill>
                <a:srgbClr val="000000"/>
              </a:solidFill>
              <a:latin typeface="Avenir LT Std 65 Medium"/>
              <a:ea typeface="Avenir LT Std 65 Medium"/>
              <a:cs typeface="Avenir LT Std 65 Medium"/>
            </a:rPr>
            <a:t>Of the dividends from non-listed companies, an amount equal to 9% of the annual return calculated on the mathematical value of the shares of the company is tax exempt up to a maximum on EUR 60 000. Of the amount exceeding the 9% exemption, 70% is regarded as taxable earned income, and 30% is tax free. Of the amount of dividends that exceeds EUR 60 000 but not the 9% exemption, 70% is taxed as capital income and 30% is tax free. The highest marginal tax rate is higher for earned income than the 32 % applied for capital income exceeding EUR 50 000. Capital income tax rate is 30 % up to EUR 50 000.</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(e) For companies not paying the CSB (contribution sociale sur les bénéfices), the corporate income tax rates are 1.1 percentage points lower. See Table II.1 for more details. The CIT rate includes a 3 % additional contribution on distributed profits.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Included in the rate in column 6 are the social contributions (particularly CSG and CRDS) of 15.5 % levied on distributed profits (100) and the high income exceptional contributions (4 % for total income over 500 000 € per year). Besides, the top PIT rate is 45 % but there is a 40 % allowance on dividends to temper the double taxation (CIT and PIT). The tax base is further reduced by a part of the social contributions (5.1 % of the gross dividends).
</a:t>
          </a:r>
          <a:r>
            <a:rPr lang="en-US" cap="none" sz="1000" b="0" i="0" u="none" baseline="0">
              <a:solidFill>
                <a:srgbClr val="000000"/>
              </a:solidFill>
              <a:latin typeface="Avenir LT Std 65 Medium"/>
              <a:ea typeface="Avenir LT Std 65 Medium"/>
              <a:cs typeface="Avenir LT Std 65 Medium"/>
            </a:rPr>
            <a:t>(f) In 2013 the CIT rate  is increased from 20% to 26% but the withholding tax rate on distributed profits  is decreased from 25% to 10%. This 10% tax rate exhausts the tax liability of the recipient.    </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(g)</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In 2011 the Personal Income Tax rate was increased from 18% to 20% from 1 January. No change in the tax-free limit.
</a:t>
          </a:r>
          <a:r>
            <a:rPr lang="en-US" cap="none" sz="1000" b="0" i="0" u="none" baseline="0">
              <a:solidFill>
                <a:srgbClr val="000000"/>
              </a:solidFill>
              <a:latin typeface="Avenir LT Std 65 Medium"/>
              <a:ea typeface="Avenir LT Std 65 Medium"/>
              <a:cs typeface="Avenir LT Std 65 Medium"/>
            </a:rPr>
            <a:t>(h)</a:t>
          </a:r>
          <a:r>
            <a:rPr lang="en-US" cap="none" sz="1000" b="0" i="0" u="none" baseline="0">
              <a:solidFill>
                <a:srgbClr val="000000"/>
              </a:solidFill>
              <a:latin typeface="Avenir LT Std 65 Medium"/>
              <a:ea typeface="Avenir LT Std 65 Medium"/>
              <a:cs typeface="Avenir LT Std 65 Medium"/>
            </a:rPr>
            <a:t> F</a:t>
          </a:r>
          <a:r>
            <a:rPr lang="en-US" cap="none" sz="1000" b="0" i="0" u="none" baseline="0">
              <a:solidFill>
                <a:srgbClr val="000000"/>
              </a:solidFill>
              <a:latin typeface="Avenir LT Std 65 Medium"/>
              <a:ea typeface="Avenir LT Std 65 Medium"/>
              <a:cs typeface="Avenir LT Std 65 Medium"/>
            </a:rPr>
            <a:t>igures refer to taxpayers with “non-qualified” shareholdings who opt for a final withholding tax with a rate of 20% instead of having their dividends taxed under the ordinary personal income tax. See the Explanatory Annex for more details. 
</a:t>
          </a:r>
          <a:r>
            <a:rPr lang="en-US" cap="none" sz="1000" b="0" i="0" u="none" baseline="0">
              <a:solidFill>
                <a:srgbClr val="000000"/>
              </a:solidFill>
              <a:latin typeface="Avenir LT Std 65 Medium"/>
              <a:ea typeface="Avenir LT Std 65 Medium"/>
              <a:cs typeface="Avenir LT Std 65 Medium"/>
            </a:rPr>
            <a:t>(i) </a:t>
          </a:r>
          <a:r>
            <a:rPr lang="en-US" cap="none" sz="1000" b="0" i="0" u="none" baseline="0">
              <a:solidFill>
                <a:srgbClr val="000000"/>
              </a:solidFill>
              <a:latin typeface="Avenir LT Std 65 Medium"/>
              <a:ea typeface="Avenir LT Std 65 Medium"/>
              <a:cs typeface="Avenir LT Std 65 Medium"/>
            </a:rPr>
            <a:t>From 1 April 2012:
</a:t>
          </a:r>
          <a:r>
            <a:rPr lang="en-US" cap="none" sz="1000" b="0" i="0" u="none" baseline="0">
              <a:solidFill>
                <a:srgbClr val="000000"/>
              </a:solidFill>
              <a:latin typeface="Avenir LT Std 65 Medium"/>
              <a:ea typeface="Avenir LT Std 65 Medium"/>
              <a:cs typeface="Avenir LT Std 65 Medium"/>
            </a:rPr>
            <a:t>- The 'CIT rate on distributed profit' has been reduced to 37.0</a:t>
          </a:r>
          <a:r>
            <a:rPr lang="en-US" cap="none" sz="1000" b="0" i="0" u="none" baseline="0">
              <a:solidFill>
                <a:srgbClr val="000000"/>
              </a:solidFill>
              <a:latin typeface="Avenir LT Std 65 Medium"/>
              <a:ea typeface="Avenir LT Std 65 Medium"/>
              <a:cs typeface="Avenir LT Std 65 Medium"/>
            </a:rPr>
            <a:t>.</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There are </a:t>
          </a:r>
          <a:r>
            <a:rPr lang="en-US" cap="none" sz="1000" b="0" i="0" u="none" baseline="0">
              <a:solidFill>
                <a:srgbClr val="000000"/>
              </a:solidFill>
              <a:latin typeface="Avenir LT Std 65 Medium"/>
              <a:ea typeface="Avenir LT Std 65 Medium"/>
              <a:cs typeface="Avenir LT Std 65 Medium"/>
            </a:rPr>
            <a:t>three </a:t>
          </a:r>
          <a:r>
            <a:rPr lang="en-US" cap="none" sz="1000" b="0" i="0" u="none" baseline="0">
              <a:solidFill>
                <a:srgbClr val="000000"/>
              </a:solidFill>
              <a:latin typeface="Avenir LT Std 65 Medium"/>
              <a:ea typeface="Avenir LT Std 65 Medium"/>
              <a:cs typeface="Avenir LT Std 65 Medium"/>
            </a:rPr>
            <a:t>methods of taxation on dividends; withholding taxation at a rate of 20% (10% for dividends distributed during the period between April 2003 and December 2013). In this case, taxpayers don't include the dividend income in the tax return; self-assessment taxation at the same rate as a  withholding tax rate. Choosing this method, taxpayers can aggregate dividends and capital losses;  aggregate taxation (10%-50% ). When taxpayers choose this method,</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the Credit for Dividends (to deduct 6.4%-12.8% of dividend income from income tax and local inhabitants tax) is applicable</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(j) </a:t>
          </a:r>
          <a:r>
            <a:rPr lang="en-US" cap="none" sz="1000" b="0" i="0" u="none" baseline="0">
              <a:solidFill>
                <a:srgbClr val="000000"/>
              </a:solidFill>
              <a:latin typeface="Avenir LT Std 65 Medium"/>
              <a:ea typeface="Avenir LT Std 65 Medium"/>
              <a:cs typeface="Avenir LT Std 65 Medium"/>
            </a:rPr>
            <a:t>A rate of 25% is applicable for income from substantial interests. A taxpayer is regarded as having a substantial interest in a company if she/he, either alone or together with his partner, holds, directly or indirectly, at least 5% of the shares of that company. The table does not model the tax burden on distributed dividends when the shareholder does not have a substantial holding in the company. When the shares do not qualify as a substantial interest, a return of 4% is deemed to be received on the value of the underlying 'ordinary' shares and in 2013 (and since 2001), this deemed return is taxed at a rate of 30%.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(k) New Zealand has a non-calendar tax year. The rates shown are those in effect as of 1 April.
</a:t>
          </a:r>
          <a:r>
            <a:rPr lang="en-US" cap="none" sz="1000" b="0" i="0" u="none" baseline="0">
              <a:solidFill>
                <a:srgbClr val="000000"/>
              </a:solidFill>
              <a:latin typeface="Avenir LT Std 65 Medium"/>
              <a:ea typeface="Avenir LT Std 65 Medium"/>
              <a:cs typeface="Avenir LT Std 65 Medium"/>
            </a:rPr>
            <a:t>(l) At the shareholder level dividends equal to (or less than) the risk-free market interest rate times the cost price of the share is exempted. (The Shareholder Model). See the Explanatory Annex for more details. 
</a:t>
          </a:r>
          <a:r>
            <a:rPr lang="en-US" cap="none" sz="1000" b="0" i="0" u="none" baseline="0">
              <a:solidFill>
                <a:srgbClr val="000000"/>
              </a:solidFill>
              <a:latin typeface="Avenir LT Std 65 Medium"/>
              <a:ea typeface="Avenir LT Std 65 Medium"/>
              <a:cs typeface="Avenir LT Std 65 Medium"/>
            </a:rPr>
            <a:t>(m) S</a:t>
          </a:r>
          <a:r>
            <a:rPr lang="en-US" cap="none" sz="1000" b="0" i="0" u="none" baseline="0">
              <a:solidFill>
                <a:srgbClr val="000000"/>
              </a:solidFill>
              <a:latin typeface="Avenir LT Std 65 Medium"/>
              <a:ea typeface="Avenir LT Std 65 Medium"/>
              <a:cs typeface="Avenir LT Std 65 Medium"/>
            </a:rPr>
            <a:t>ince 2011 there is a State surtax. In 2011 this surtax was 2% for taxable profit above 2,000,000 euros, in 2012 it was 3% for taxable profit above 1,500,000 euros and 5% for taxable profit above </a:t>
          </a:r>
          <a:r>
            <a:rPr lang="en-US" cap="none" sz="1000" b="0" i="0" u="none" baseline="0">
              <a:solidFill>
                <a:srgbClr val="000000"/>
              </a:solidFill>
              <a:latin typeface="Avenir LT Std 65 Medium"/>
              <a:ea typeface="Avenir LT Std 65 Medium"/>
              <a:cs typeface="Avenir LT Std 65 Medium"/>
            </a:rPr>
            <a:t>10,000,000 and in 2013 it is 3% for taxable profit above 1,500,000 euros and 5% for taxable profit above 7,500,000; from 2014 onwards as in 2011</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(n) D</a:t>
          </a:r>
          <a:r>
            <a:rPr lang="en-US" cap="none" sz="1000" b="0" i="0" u="none" baseline="0">
              <a:solidFill>
                <a:srgbClr val="000000"/>
              </a:solidFill>
              <a:latin typeface="Avenir LT Std 65 Medium"/>
              <a:ea typeface="Avenir LT Std 65 Medium"/>
              <a:cs typeface="Avenir LT Std 65 Medium"/>
            </a:rPr>
            <a:t>ividends received by individuals are subject to a progressive tax schedule of 21% on the first EUR 6,000, 25% for those ranging up to € 24 000 and 27% over the previous figure. The first EUR 1 500 of dividends are exempted from tax at the shareholder level.</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(o) The corporate income tax rate includes the church tax, while the personal income tax rates excludes it. The data are computed for Zurich (representative town) with a MCL system. In Switzerland, a certain number of cantons have a</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system.</a:t>
          </a:r>
          <a:r>
            <a:rPr lang="en-US" cap="none" sz="1000" b="0" i="0" u="none" baseline="0">
              <a:solidFill>
                <a:srgbClr val="000000"/>
              </a:solidFill>
              <a:latin typeface="Avenir LT Std 65 Medium"/>
              <a:ea typeface="Avenir LT Std 65 Medium"/>
              <a:cs typeface="Avenir LT Std 65 Medium"/>
            </a:rPr>
            <a:t> The federal state changed from CL to MCL as of 1</a:t>
          </a:r>
          <a:r>
            <a:rPr lang="en-US" cap="none" sz="1000" b="0" i="0" u="none" baseline="0">
              <a:solidFill>
                <a:srgbClr val="000000"/>
              </a:solidFill>
              <a:latin typeface="Avenir LT Std 65 Medium"/>
              <a:ea typeface="Avenir LT Std 65 Medium"/>
              <a:cs typeface="Avenir LT Std 65 Medium"/>
            </a:rPr>
            <a:t> January</a:t>
          </a:r>
          <a:r>
            <a:rPr lang="en-US" cap="none" sz="1000" b="0" i="0" u="none" baseline="0">
              <a:solidFill>
                <a:srgbClr val="000000"/>
              </a:solidFill>
              <a:latin typeface="Avenir LT Std 65 Medium"/>
              <a:ea typeface="Avenir LT Std 65 Medium"/>
              <a:cs typeface="Avenir LT Std 65 Medium"/>
            </a:rPr>
            <a:t> 2009.
</a:t>
          </a:r>
          <a:r>
            <a:rPr lang="en-US" cap="none" sz="1000" b="0" i="0" u="none" baseline="0">
              <a:solidFill>
                <a:srgbClr val="000000"/>
              </a:solidFill>
              <a:latin typeface="Avenir LT Std 65 Medium"/>
              <a:ea typeface="Avenir LT Std 65 Medium"/>
              <a:cs typeface="Avenir LT Std 65 Medium"/>
            </a:rPr>
            <a:t>(p) United Kingdom has a non-calendar tax year. The rates shown are those in effect as of 5 April.
</a:t>
          </a:r>
          <a:r>
            <a:rPr lang="en-US" cap="none" sz="1000" b="0" i="0" u="none" baseline="0">
              <a:solidFill>
                <a:srgbClr val="000000"/>
              </a:solidFill>
              <a:latin typeface="Avenir LT Std 65 Medium"/>
              <a:ea typeface="Avenir LT Std 65 Medium"/>
              <a:cs typeface="Avenir LT Std 65 Medium"/>
            </a:rPr>
            <a:t>(q) The PIT rate on (grossed-up) dividend (column 6) is defined as the sum of the maximum federal personal income tax rate on qualified dividends and the net investment income tax rate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2015.
</a:t>
          </a:r>
          <a:r>
            <a:rPr lang="en-US" cap="none" sz="1000" b="0" i="0" u="none" baseline="0">
              <a:solidFill>
                <a:srgbClr val="000000"/>
              </a:solidFill>
              <a:latin typeface="Avenir LT Std 65 Medium"/>
              <a:ea typeface="Avenir LT Std 65 Medium"/>
              <a:cs typeface="Avenir LT Std 65 Medium"/>
            </a:rPr>
            <a:t>https://stats.oecd.org/Index.aspx?DataSetCode=TABLE_II4</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133350</xdr:rowOff>
    </xdr:from>
    <xdr:to>
      <xdr:col>26</xdr:col>
      <xdr:colOff>0</xdr:colOff>
      <xdr:row>120</xdr:row>
      <xdr:rowOff>114300</xdr:rowOff>
    </xdr:to>
    <xdr:sp>
      <xdr:nvSpPr>
        <xdr:cNvPr id="1" name="Text Box 1"/>
        <xdr:cNvSpPr txBox="1">
          <a:spLocks noChangeArrowheads="1"/>
        </xdr:cNvSpPr>
      </xdr:nvSpPr>
      <xdr:spPr>
        <a:xfrm>
          <a:off x="0" y="7705725"/>
          <a:ext cx="9039225" cy="11963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
</a:t>
          </a:r>
          <a:r>
            <a:rPr lang="en-US" cap="none" sz="1000" b="0" i="0" u="none" baseline="0">
              <a:solidFill>
                <a:srgbClr val="000000"/>
              </a:solidFill>
              <a:latin typeface="Avenir LT Std 65 Medium"/>
              <a:ea typeface="Avenir LT Std 65 Medium"/>
              <a:cs typeface="Avenir LT Std 65 Medium"/>
            </a:rPr>
            <a:t>(b)</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For shares issued before 1 January 1994 the (withholding) personal income tax rate is 25 per cent. The witholding tax is final, if the shareholder so chooses.
</a:t>
          </a:r>
          <a:r>
            <a:rPr lang="en-US" cap="none" sz="1000" b="0" i="0" u="none" baseline="0">
              <a:solidFill>
                <a:srgbClr val="000000"/>
              </a:solidFill>
              <a:latin typeface="Avenir LT Std 65 Medium"/>
              <a:ea typeface="Avenir LT Std 65 Medium"/>
              <a:cs typeface="Avenir LT Std 65 Medium"/>
            </a:rPr>
            <a:t>The lower the return on equity before tax, the lower the effective tax rate due to the allowance for corporate equity (ACE). E.g. the effective tax rate is only half the nominal tax rate when the return on equity before tax is twice the notional interest rate (3.781% in 2007). 
</a:t>
          </a:r>
          <a:r>
            <a:rPr lang="en-US" cap="none" sz="1000" b="0" i="0" u="none" baseline="0">
              <a:solidFill>
                <a:srgbClr val="000000"/>
              </a:solidFill>
              <a:latin typeface="Avenir LT Std 65 Medium"/>
              <a:ea typeface="Avenir LT Std 65 Medium"/>
              <a:cs typeface="Avenir LT Std 65 Medium"/>
            </a:rPr>
            <a:t>(c) Canada recently announced, effective 2006, a new gross-up and dividend tax credit for dividends distributed by large corporations, which are subject to a higher statutory rate than small businesses.  As a result, Canada will be operating a dual rate gross up and dividend tax credit system.  Rates presented are those applicable to large corporation dividends.
</a:t>
          </a:r>
          <a:r>
            <a:rPr lang="en-US" cap="none" sz="1000" b="0" i="0" u="none" baseline="0">
              <a:solidFill>
                <a:srgbClr val="000000"/>
              </a:solidFill>
              <a:latin typeface="Avenir LT Std 65 Medium"/>
              <a:ea typeface="Avenir LT Std 65 Medium"/>
              <a:cs typeface="Avenir LT Std 65 Medium"/>
            </a:rPr>
            <a:t>(d) Part of the dividends from non-listed companies is taxed as earned income. Since the highest marginal tax rate is higher for earned income than for capital income, the net personal tax in this table would not be zero for such companies. 
</a:t>
          </a:r>
          <a:r>
            <a:rPr lang="en-US" cap="none" sz="1000" b="0" i="0" u="none" baseline="0">
              <a:solidFill>
                <a:srgbClr val="000000"/>
              </a:solidFill>
              <a:latin typeface="Avenir LT Std 65 Medium"/>
              <a:ea typeface="Avenir LT Std 65 Medium"/>
              <a:cs typeface="Avenir LT Std 65 Medium"/>
            </a:rPr>
            <a:t>(e) For companies not paying the CSB (Contribution Sociale sur les Bénéficies), the corporate income tax rates are 1.1 percentage points lower. See Table II.1 for more details. Included in the rate in column 6 is the prélèvements sociaux (CSG,CRDS) of 11% is levied on distributed profits (100). As shown in column 10,  taxpayers only have to declare 60 per cent of the dividends that are grossed-up with the prélèvements sociaux that have been withheld at source. The tax base is further reduced by a part of the prélèvements sociaux (up to 5.8 per cent of the grossed-up dividends). 
</a:t>
          </a:r>
          <a:r>
            <a:rPr lang="en-US" cap="none" sz="1000" b="0" i="0" u="none" baseline="0">
              <a:solidFill>
                <a:srgbClr val="000000"/>
              </a:solidFill>
              <a:latin typeface="Avenir LT Std 65 Medium"/>
              <a:ea typeface="Avenir LT Std 65 Medium"/>
              <a:cs typeface="Avenir LT Std 65 Medium"/>
            </a:rPr>
            <a:t>(f) Distributed dividends that exceeds a threshold equal to 30 per cent of the value of the share are taxed at the shareholder level at a personal income tax rate of 35%. For dividends below this threshold, the rate is 25%. 
</a:t>
          </a:r>
          <a:r>
            <a:rPr lang="en-US" cap="none" sz="1000" b="0" i="0" u="none" baseline="0">
              <a:solidFill>
                <a:srgbClr val="000000"/>
              </a:solidFill>
              <a:latin typeface="Avenir LT Std 65 Medium"/>
              <a:ea typeface="Avenir LT Std 65 Medium"/>
              <a:cs typeface="Avenir LT Std 65 Medium"/>
            </a:rPr>
            <a:t>(g) The top personal income tax rate is 44.9 per cent (43% central tax + 1.9% local tax).
</a:t>
          </a:r>
          <a:r>
            <a:rPr lang="en-US" cap="none" sz="1000" b="0" i="0" u="none" baseline="0">
              <a:solidFill>
                <a:srgbClr val="000000"/>
              </a:solidFill>
              <a:latin typeface="Avenir LT Std 65 Medium"/>
              <a:ea typeface="Avenir LT Std 65 Medium"/>
              <a:cs typeface="Avenir LT Std 65 Medium"/>
            </a:rPr>
            <a:t>(h) Dividends distributed by listed corporations are withheld at a rate of 20% (10% for dividends distributed during the period between April 2003 and March 2009), and the taxpayer can choose not to include the dividend income in the tax return. On the other hand, if dividends are subject to an aggregate tax, the Credit for Dividends (to deduct 6.4%-12.8% of dividend income from income tax and local inhabitants tax) is applicable. 
</a:t>
          </a:r>
          <a:r>
            <a:rPr lang="en-US" cap="none" sz="1000" b="0" i="0" u="none" baseline="0">
              <a:solidFill>
                <a:srgbClr val="000000"/>
              </a:solidFill>
              <a:latin typeface="Avenir LT Std 65 Medium"/>
              <a:ea typeface="Avenir LT Std 65 Medium"/>
              <a:cs typeface="Avenir LT Std 65 Medium"/>
            </a:rPr>
            <a:t>(i) For 2007 the PIT rate applicable to taxable income from substantial interests was reduced to 22% for the first EUR 250 000. For taxable income of EUR 250 000 or above a rate of 25% is applicable. For 2008 a rate of 25% will be applicable (again) for all income from substantial interests. A taxpayer is regarded as having a substantial interest in a company if she/he, either alone or together with his partner, holds, directly or indirectly, at least 5% of the shares of that company. The table does not model the tax burden on distributed dividends when the shareholder does not have a substantial holding in the company. When the shares do not qualify as a substantial interest, a return of 4% is deemed to be received on the value of the underlying 'ordinary' shares and in 2007 (and since 2001), this deemed return is taxed at a rate of 30%.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(j) New Zealand has a non-calendar tax year. The rates shown are those in effect as of 1 April.
</a:t>
          </a:r>
          <a:r>
            <a:rPr lang="en-US" cap="none" sz="1000" b="0" i="0" u="none" baseline="0">
              <a:solidFill>
                <a:srgbClr val="000000"/>
              </a:solidFill>
              <a:latin typeface="Avenir LT Std 65 Medium"/>
              <a:ea typeface="Avenir LT Std 65 Medium"/>
              <a:cs typeface="Avenir LT Std 65 Medium"/>
            </a:rPr>
            <a:t>(k) At the shareholder level dividends equal to (or less than) the risk-free market interest rate times the cost price of the share is exempted. (The Shareholder Model). See the Explanatory Annex for more details.
</a:t>
          </a:r>
          <a:r>
            <a:rPr lang="en-US" cap="none" sz="1000" b="0" i="0" u="none" baseline="0">
              <a:solidFill>
                <a:srgbClr val="000000"/>
              </a:solidFill>
              <a:latin typeface="Avenir LT Std 65 Medium"/>
              <a:ea typeface="Avenir LT Std 65 Medium"/>
              <a:cs typeface="Avenir LT Std 65 Medium"/>
            </a:rPr>
            <a:t>(l) As from 1 January 2007, the corporate income tax rate was reduced to 32.5 per cent and dividends received by individuals are subject to a flat personal income tax rate of 18 per cent. The first EUR 1000 of dividends are exempted from tax at the shareholder level.</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(m) The corporate income tax rate includes the church tax, while the personal income tax rates excludes it. The data are computed for Zurich (representative town) with a CL system. In Switzerland, a certain number of cantons have a MCL.
</a:t>
          </a:r>
          <a:r>
            <a:rPr lang="en-US" cap="none" sz="1000" b="0" i="0" u="none" baseline="0">
              <a:solidFill>
                <a:srgbClr val="000000"/>
              </a:solidFill>
              <a:latin typeface="Avenir LT Std 65 Medium"/>
              <a:ea typeface="Avenir LT Std 65 Medium"/>
              <a:cs typeface="Avenir LT Std 65 Medium"/>
            </a:rPr>
            <a:t>(n) United Kingdom has a non-calendar tax year. The rates shown are those in effect as of 5 April.
</a:t>
          </a:r>
          <a:r>
            <a:rPr lang="en-US" cap="none" sz="1000" b="0" i="0" u="none" baseline="0">
              <a:solidFill>
                <a:srgbClr val="000000"/>
              </a:solidFill>
              <a:latin typeface="Avenir LT Std 65 Medium"/>
              <a:ea typeface="Avenir LT Std 65 Medium"/>
              <a:cs typeface="Avenir LT Std 65 Medium"/>
            </a:rPr>
            <a:t>(o) The PIT rate on (grossed-up) dividend (column 6) is defined as the sum of the maximum federal personal income tax rate on dividends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2013.
</a:t>
          </a:r>
          <a:r>
            <a:rPr lang="en-US" cap="none" sz="1000" b="0" i="0" u="none" baseline="0">
              <a:solidFill>
                <a:srgbClr val="000000"/>
              </a:solidFill>
              <a:latin typeface="Avenir LT Std 65 Medium"/>
              <a:ea typeface="Avenir LT Std 65 Medium"/>
              <a:cs typeface="Avenir LT Std 65 Medium"/>
            </a:rPr>
            <a:t>http://www.oecd.org/tax/tax-policy/Table%20II.4_Nov%202013.xlsx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133350</xdr:rowOff>
    </xdr:from>
    <xdr:to>
      <xdr:col>26</xdr:col>
      <xdr:colOff>0</xdr:colOff>
      <xdr:row>115</xdr:row>
      <xdr:rowOff>76200</xdr:rowOff>
    </xdr:to>
    <xdr:sp>
      <xdr:nvSpPr>
        <xdr:cNvPr id="1" name="Text Box 1"/>
        <xdr:cNvSpPr txBox="1">
          <a:spLocks noChangeArrowheads="1"/>
        </xdr:cNvSpPr>
      </xdr:nvSpPr>
      <xdr:spPr>
        <a:xfrm>
          <a:off x="0" y="9201150"/>
          <a:ext cx="9201150" cy="111156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
</a:t>
          </a:r>
          <a:r>
            <a:rPr lang="en-US" cap="none" sz="1000" b="0" i="0" u="none" baseline="0">
              <a:solidFill>
                <a:srgbClr val="000000"/>
              </a:solidFill>
              <a:latin typeface="Avenir LT Std 65 Medium"/>
              <a:ea typeface="Avenir LT Std 65 Medium"/>
              <a:cs typeface="Avenir LT Std 65 Medium"/>
            </a:rPr>
            <a:t>(b) For shares issued before 1. January 1994 the (withholding) personal income tax rate is 25 per cent. The witholding tax is final, if the shareholder so chooses.
</a:t>
          </a:r>
          <a:r>
            <a:rPr lang="en-US" cap="none" sz="1000" b="0" i="0" u="none" baseline="0">
              <a:solidFill>
                <a:srgbClr val="000000"/>
              </a:solidFill>
              <a:latin typeface="Avenir LT Std 65 Medium"/>
              <a:ea typeface="Avenir LT Std 65 Medium"/>
              <a:cs typeface="Avenir LT Std 65 Medium"/>
            </a:rPr>
            <a:t>The lower the return on equity before tax, the lower the effective tax rate due to the allowance for corporate equity (ACE). E.g. the effective tax rate is only half the nominal tax rate when the return on equity before tax is twice the notional interest rate (3.442% in 2006). 
</a:t>
          </a:r>
          <a:r>
            <a:rPr lang="en-US" cap="none" sz="1000" b="0" i="0" u="none" baseline="0">
              <a:solidFill>
                <a:srgbClr val="000000"/>
              </a:solidFill>
              <a:latin typeface="Avenir LT Std 65 Medium"/>
              <a:ea typeface="Avenir LT Std 65 Medium"/>
              <a:cs typeface="Avenir LT Std 65 Medium"/>
            </a:rPr>
            <a:t>(c) Canada recently announced, effective 2006, a new gross-up and dividend tax credit for dividends distributed by large corporations, which are subject to a higher statutory rate than small businesses.  As a result, Canada will be operating a dual rate gross up and dividend tax credit system.  Rates presented are those applicable to large corporation dividends. Imputation rate reflects the fact that no provincial legislative changes have been made to harmonize provincial tax credits with the new federal tax credit for large dividends.  Without provincial amendments, there will be a new defacto increase in the provincial credits. 
</a:t>
          </a:r>
          <a:r>
            <a:rPr lang="en-US" cap="none" sz="1000" b="0" i="0" u="none" baseline="0">
              <a:solidFill>
                <a:srgbClr val="000000"/>
              </a:solidFill>
              <a:latin typeface="Avenir LT Std 65 Medium"/>
              <a:ea typeface="Avenir LT Std 65 Medium"/>
              <a:cs typeface="Avenir LT Std 65 Medium"/>
            </a:rPr>
            <a:t>(d) Part of the dividends from non-listed companies is taxed as earned income. Since the highest marginal tax rate is higher for earned income than for capital income, the net personal tax in this table would not be zero for such companies. 
</a:t>
          </a:r>
          <a:r>
            <a:rPr lang="en-US" cap="none" sz="1000" b="0" i="0" u="none" baseline="0">
              <a:solidFill>
                <a:srgbClr val="000000"/>
              </a:solidFill>
              <a:latin typeface="Avenir LT Std 65 Medium"/>
              <a:ea typeface="Avenir LT Std 65 Medium"/>
              <a:cs typeface="Avenir LT Std 65 Medium"/>
            </a:rPr>
            <a:t>(e)</a:t>
          </a:r>
          <a:r>
            <a:rPr lang="en-US" cap="none" sz="1000" b="0" i="0" u="none" baseline="0">
              <a:solidFill>
                <a:srgbClr val="000000"/>
              </a:solidFill>
              <a:latin typeface="Avenir LT Std 65 Medium"/>
              <a:ea typeface="Avenir LT Std 65 Medium"/>
              <a:cs typeface="Avenir LT Std 65 Medium"/>
            </a:rPr>
            <a:t> F</a:t>
          </a:r>
          <a:r>
            <a:rPr lang="en-US" cap="none" sz="1000" b="0" i="0" u="none" baseline="0">
              <a:solidFill>
                <a:srgbClr val="000000"/>
              </a:solidFill>
              <a:latin typeface="Avenir LT Std 65 Medium"/>
              <a:ea typeface="Avenir LT Std 65 Medium"/>
              <a:cs typeface="Avenir LT Std 65 Medium"/>
            </a:rPr>
            <a:t>or companies not paying the CSB (Contribution Sociale sur les Bénéficies), the corporate income tax rates are 1.1 percentage points lower. See Table II.1 for more details. Included in the rate in column 6 is the prélèvements sociaux (CSG,CRDS) of 11% is levied on distributed profits (100). As shown in column 10,  taxpayers only have to declare 60 per cent of the dividends that are grossed-up with the prélèvements sociaux that have been withheld at source. The tax base is further reduced by a part of the prélèvements sociaux (up to 5.8 per cent of the grossed-up dividends). 
</a:t>
          </a:r>
          <a:r>
            <a:rPr lang="en-US" cap="none" sz="1000" b="0" i="0" u="none" baseline="0">
              <a:solidFill>
                <a:srgbClr val="000000"/>
              </a:solidFill>
              <a:latin typeface="Avenir LT Std 65 Medium"/>
              <a:ea typeface="Avenir LT Std 65 Medium"/>
              <a:cs typeface="Avenir LT Std 65 Medium"/>
            </a:rPr>
            <a:t>(f)</a:t>
          </a:r>
          <a:r>
            <a:rPr lang="en-US" cap="none" sz="1000" b="0" i="0" u="none" baseline="0">
              <a:solidFill>
                <a:srgbClr val="000000"/>
              </a:solidFill>
              <a:latin typeface="Avenir LT Std 65 Medium"/>
              <a:ea typeface="Avenir LT Std 65 Medium"/>
              <a:cs typeface="Avenir LT Std 65 Medium"/>
            </a:rPr>
            <a:t> D</a:t>
          </a:r>
          <a:r>
            <a:rPr lang="en-US" cap="none" sz="1000" b="0" i="0" u="none" baseline="0">
              <a:solidFill>
                <a:srgbClr val="000000"/>
              </a:solidFill>
              <a:latin typeface="Avenir LT Std 65 Medium"/>
              <a:ea typeface="Avenir LT Std 65 Medium"/>
              <a:cs typeface="Avenir LT Std 65 Medium"/>
            </a:rPr>
            <a:t>istributed dividends that exceeds a threshold equal to 30 per cent of the value of the share are taxed at the shareholder level at a personal income tax rate of 35%. For dividends below this threshold, the rate is 25%. 
</a:t>
          </a:r>
          <a:r>
            <a:rPr lang="en-US" cap="none" sz="1000" b="0" i="0" u="none" baseline="0">
              <a:solidFill>
                <a:srgbClr val="000000"/>
              </a:solidFill>
              <a:latin typeface="Avenir LT Std 65 Medium"/>
              <a:ea typeface="Avenir LT Std 65 Medium"/>
              <a:cs typeface="Avenir LT Std 65 Medium"/>
            </a:rPr>
            <a:t>(g) The top personal income tax rate as defined in the Italian Income Tax Act is 40.6 per cent (39% central tax + 1.6% local tax). The top rate of 44.6 per cent reported in this table includes a "solidarity  levy" of 4 per cent which is applicable for personal income in excess of 100,000 euros. See the Explanatory Annex for statutory rates excluding the "solidarity levy".
</a:t>
          </a:r>
          <a:r>
            <a:rPr lang="en-US" cap="none" sz="1000" b="0" i="0" u="none" baseline="0">
              <a:solidFill>
                <a:srgbClr val="000000"/>
              </a:solidFill>
              <a:latin typeface="Avenir LT Std 65 Medium"/>
              <a:ea typeface="Avenir LT Std 65 Medium"/>
              <a:cs typeface="Avenir LT Std 65 Medium"/>
            </a:rPr>
            <a:t>(h) Dividends distributed by listed corporations are withheld at a rate of 20% (10% for dividends distributed during the period between April 2003 and March 2009), and the taxpayer can choose not to include the dividend income in the tax return. On the other hand, if dividends are subject to an aggregate tax, the Credit for Dividends (to deduct 6.4%-12.8% of dividend income from income tax and local inhabitants tax) is applicable. 
</a:t>
          </a:r>
          <a:r>
            <a:rPr lang="en-US" cap="none" sz="1000" b="0" i="0" u="none" baseline="0">
              <a:solidFill>
                <a:srgbClr val="000000"/>
              </a:solidFill>
              <a:latin typeface="Avenir LT Std 65 Medium"/>
              <a:ea typeface="Avenir LT Std 65 Medium"/>
              <a:cs typeface="Avenir LT Std 65 Medium"/>
            </a:rPr>
            <a:t>(i)</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New Zealand has a non-calendar tax year. The rates shown are those in effect as of 1 April.
</a:t>
          </a:r>
          <a:r>
            <a:rPr lang="en-US" cap="none" sz="1000" b="0" i="0" u="none" baseline="0">
              <a:solidFill>
                <a:srgbClr val="000000"/>
              </a:solidFill>
              <a:latin typeface="Avenir LT Std 65 Medium"/>
              <a:ea typeface="Avenir LT Std 65 Medium"/>
              <a:cs typeface="Avenir LT Std 65 Medium"/>
            </a:rPr>
            <a:t>(j) At the shareholder level dividends equal to (or less than) the risk-free market interest rate times the cost price of the share is exempted. (The Shareholder Model). See the Explanatory Annex for more details. 
</a:t>
          </a:r>
          <a:r>
            <a:rPr lang="en-US" cap="none" sz="1000" b="0" i="0" u="none" baseline="0">
              <a:solidFill>
                <a:srgbClr val="000000"/>
              </a:solidFill>
              <a:latin typeface="Avenir LT Std 65 Medium"/>
              <a:ea typeface="Avenir LT Std 65 Medium"/>
              <a:cs typeface="Avenir LT Std 65 Medium"/>
            </a:rPr>
            <a:t>(k) The corporate income tax rate includes the church tax, while the personal income tax rates excludes it.
</a:t>
          </a:r>
          <a:r>
            <a:rPr lang="en-US" cap="none" sz="1000" b="0" i="0" u="none" baseline="0">
              <a:solidFill>
                <a:srgbClr val="000000"/>
              </a:solidFill>
              <a:latin typeface="Avenir LT Std 65 Medium"/>
              <a:ea typeface="Avenir LT Std 65 Medium"/>
              <a:cs typeface="Avenir LT Std 65 Medium"/>
            </a:rPr>
            <a:t>(l) From 21 June 2006 onwards, the corporate income tax rate was reduced from 30 to 20 per cent. The rate of 20 per cent is applied to the corporate profits earned in the year 2006. 
</a:t>
          </a:r>
          <a:r>
            <a:rPr lang="en-US" cap="none" sz="1000" b="0" i="0" u="none" baseline="0">
              <a:solidFill>
                <a:srgbClr val="000000"/>
              </a:solidFill>
              <a:latin typeface="Avenir LT Std 65 Medium"/>
              <a:ea typeface="Avenir LT Std 65 Medium"/>
              <a:cs typeface="Avenir LT Std 65 Medium"/>
            </a:rPr>
            <a:t>(m) United Kingdom has a non-calendar tax year. The rates shown are those in effect as of 5 April.
</a:t>
          </a:r>
          <a:r>
            <a:rPr lang="en-US" cap="none" sz="1000" b="0" i="0" u="none" baseline="0">
              <a:solidFill>
                <a:srgbClr val="000000"/>
              </a:solidFill>
              <a:latin typeface="Avenir LT Std 65 Medium"/>
              <a:ea typeface="Avenir LT Std 65 Medium"/>
              <a:cs typeface="Avenir LT Std 65 Medium"/>
            </a:rPr>
            <a:t>(n) The PIT rate on (grossed-up) dividend (column 6) is defined as the sum of the maximum federal personal income tax rate on dividends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2013.
</a:t>
          </a:r>
          <a:r>
            <a:rPr lang="en-US" cap="none" sz="1000" b="0" i="0" u="none" baseline="0">
              <a:solidFill>
                <a:srgbClr val="000000"/>
              </a:solidFill>
              <a:latin typeface="Avenir LT Std 65 Medium"/>
              <a:ea typeface="Avenir LT Std 65 Medium"/>
              <a:cs typeface="Avenir LT Std 65 Medium"/>
            </a:rPr>
            <a:t>http://www.oecd.org/tax/tax-policy/Table%20II.4_Nov%202013.xlsx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47625</xdr:rowOff>
    </xdr:from>
    <xdr:to>
      <xdr:col>26</xdr:col>
      <xdr:colOff>0</xdr:colOff>
      <xdr:row>104</xdr:row>
      <xdr:rowOff>28575</xdr:rowOff>
    </xdr:to>
    <xdr:sp>
      <xdr:nvSpPr>
        <xdr:cNvPr id="1" name="Text Box 1"/>
        <xdr:cNvSpPr txBox="1">
          <a:spLocks noChangeArrowheads="1"/>
        </xdr:cNvSpPr>
      </xdr:nvSpPr>
      <xdr:spPr>
        <a:xfrm>
          <a:off x="0" y="8772525"/>
          <a:ext cx="9124950" cy="93726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(b) For shares issued before 1. January 1994 the (withholding) personal income tax rate is 25 per cent. The withholding tax is final, if the shareholder so chooses.
</a:t>
          </a:r>
          <a:r>
            <a:rPr lang="en-US" cap="none" sz="1000" b="0" i="0" u="none" baseline="0">
              <a:solidFill>
                <a:srgbClr val="000000"/>
              </a:solidFill>
              <a:latin typeface="Avenir LT Std 65 Medium"/>
              <a:ea typeface="Avenir LT Std 65 Medium"/>
              <a:cs typeface="Avenir LT Std 65 Medium"/>
            </a:rPr>
            <a:t>(c) Part of the dividends from non-listed companies is taxed as earned income. Since the highest marginal tax rate is higher for earned income than for capital income, the net personal tax in this table would not be zero for such companies. 
</a:t>
          </a:r>
          <a:r>
            <a:rPr lang="en-US" cap="none" sz="1000" b="0" i="0" u="none" baseline="0">
              <a:solidFill>
                <a:srgbClr val="000000"/>
              </a:solidFill>
              <a:latin typeface="Avenir LT Std 65 Medium"/>
              <a:ea typeface="Avenir LT Std 65 Medium"/>
              <a:cs typeface="Avenir LT Std 65 Medium"/>
            </a:rPr>
            <a:t>(d) For companies not paying the CSB (</a:t>
          </a:r>
          <a:r>
            <a:rPr lang="en-US" cap="none" sz="1000" b="0" i="1" u="none" baseline="0">
              <a:solidFill>
                <a:srgbClr val="000000"/>
              </a:solidFill>
              <a:latin typeface="Avenir LT Std 65 Medium"/>
              <a:ea typeface="Avenir LT Std 65 Medium"/>
              <a:cs typeface="Avenir LT Std 65 Medium"/>
            </a:rPr>
            <a:t>Contribution Sociale sur les Bénéficies</a:t>
          </a:r>
          <a:r>
            <a:rPr lang="en-US" cap="none" sz="1000" b="0" i="0" u="none" baseline="0">
              <a:solidFill>
                <a:srgbClr val="000000"/>
              </a:solidFill>
              <a:latin typeface="Avenir LT Std 65 Medium"/>
              <a:ea typeface="Avenir LT Std 65 Medium"/>
              <a:cs typeface="Avenir LT Std 65 Medium"/>
            </a:rPr>
            <a:t>), the corporate income tax rates are 1.1 percentage points lower. See Table II.1 for more details. Included in the rate in column 6 is the prélèvements sociaux (CSG,CRDS) of 11% is levied on distributed profits (100). As shown in column 10,  taxpayers only have to declare 50 per cent of the dividends that are grossed-up with the prélèvements sociaux that have been withheld at source. The tax base is further reduced by a part of the prélèvements sociaux (up to 5.8 per cent of the grossed-up dividends). 
</a:t>
          </a:r>
          <a:r>
            <a:rPr lang="en-US" cap="none" sz="1000" b="0" i="0" u="none" baseline="0">
              <a:solidFill>
                <a:srgbClr val="000000"/>
              </a:solidFill>
              <a:latin typeface="Avenir LT Std 65 Medium"/>
              <a:ea typeface="Avenir LT Std 65 Medium"/>
              <a:cs typeface="Avenir LT Std 65 Medium"/>
            </a:rPr>
            <a:t>(e)</a:t>
          </a:r>
          <a:r>
            <a:rPr lang="en-US" cap="none" sz="1000" b="0" i="0" u="none" baseline="0">
              <a:solidFill>
                <a:srgbClr val="000000"/>
              </a:solidFill>
              <a:latin typeface="Avenir LT Std 65 Medium"/>
              <a:ea typeface="Avenir LT Std 65 Medium"/>
              <a:cs typeface="Avenir LT Std 65 Medium"/>
            </a:rPr>
            <a:t> D</a:t>
          </a:r>
          <a:r>
            <a:rPr lang="en-US" cap="none" sz="1000" b="0" i="0" u="none" baseline="0">
              <a:solidFill>
                <a:srgbClr val="000000"/>
              </a:solidFill>
              <a:latin typeface="Avenir LT Std 65 Medium"/>
              <a:ea typeface="Avenir LT Std 65 Medium"/>
              <a:cs typeface="Avenir LT Std 65 Medium"/>
            </a:rPr>
            <a:t>istributed dividends that exceeds a threshold equal to 30 per cent of the value of the share are taxed at the shareholder level at a personal income tax rate of 35%. For dividends below this threshold, the rate is 20%. 
</a:t>
          </a:r>
          <a:r>
            <a:rPr lang="en-US" cap="none" sz="1000" b="0" i="0" u="none" baseline="0">
              <a:solidFill>
                <a:srgbClr val="000000"/>
              </a:solidFill>
              <a:latin typeface="Avenir LT Std 65 Medium"/>
              <a:ea typeface="Avenir LT Std 65 Medium"/>
              <a:cs typeface="Avenir LT Std 65 Medium"/>
            </a:rPr>
            <a:t>(f)</a:t>
          </a:r>
          <a:r>
            <a:rPr lang="en-US" cap="none" sz="1000" b="0" i="0" u="none" baseline="0">
              <a:solidFill>
                <a:srgbClr val="000000"/>
              </a:solidFill>
              <a:latin typeface="Avenir LT Std 65 Medium"/>
              <a:ea typeface="Avenir LT Std 65 Medium"/>
              <a:cs typeface="Avenir LT Std 65 Medium"/>
            </a:rPr>
            <a:t> T</a:t>
          </a:r>
          <a:r>
            <a:rPr lang="en-US" cap="none" sz="1000" b="0" i="0" u="none" baseline="0">
              <a:solidFill>
                <a:srgbClr val="000000"/>
              </a:solidFill>
              <a:latin typeface="Avenir LT Std 65 Medium"/>
              <a:ea typeface="Avenir LT Std 65 Medium"/>
              <a:cs typeface="Avenir LT Std 65 Medium"/>
            </a:rPr>
            <a:t>he top personal income tax rate as defined in the Italian Income Tax Act is 40.1 per cent (39% central tax + 1.1% local tax). The top rate of 44.1 per cent reported in this table includes a "solidarity  levy" of 4 per cent which is applicable for personal income in excess of 100,000 euros. See the Explanatory Annex for statutory rates excluding the "solidarity levy".
</a:t>
          </a:r>
          <a:r>
            <a:rPr lang="en-US" cap="none" sz="1000" b="0" i="0" u="none" baseline="0">
              <a:solidFill>
                <a:srgbClr val="000000"/>
              </a:solidFill>
              <a:latin typeface="Avenir LT Std 65 Medium"/>
              <a:ea typeface="Avenir LT Std 65 Medium"/>
              <a:cs typeface="Avenir LT Std 65 Medium"/>
            </a:rPr>
            <a:t>(g) Dividends distributed by listed corporations are withheld at a rate of 20% (10% for dividends distributed during the period between April 2003 and March 2009), and the taxpayer can choose not to include the dividend income in the tax return. On the other hand, if dividends are subject to an aggregate tax, the Credit for Dividends (to deduct 6.4%-12.8% of dividend income from income tax and local inhabitants tax) is applicable. 
</a:t>
          </a:r>
          <a:r>
            <a:rPr lang="en-US" cap="none" sz="1000" b="0" i="0" u="none" baseline="0">
              <a:solidFill>
                <a:srgbClr val="000000"/>
              </a:solidFill>
              <a:latin typeface="Avenir LT Std 65 Medium"/>
              <a:ea typeface="Avenir LT Std 65 Medium"/>
              <a:cs typeface="Avenir LT Std 65 Medium"/>
            </a:rPr>
            <a:t>(h) New Zealand has a non-calendar tax year. The rates shown are those in effect as of 1 April.</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(i) The corporate income tax rate includes the church tax, while the personal income tax rates excludes it.
</a:t>
          </a:r>
          <a:r>
            <a:rPr lang="en-US" cap="none" sz="1000" b="0" i="0" u="none" baseline="0">
              <a:solidFill>
                <a:srgbClr val="000000"/>
              </a:solidFill>
              <a:latin typeface="Avenir LT Std 65 Medium"/>
              <a:ea typeface="Avenir LT Std 65 Medium"/>
              <a:cs typeface="Avenir LT Std 65 Medium"/>
            </a:rPr>
            <a:t>(j) United Kingdom has a non-calendar tax year. The rates shown are those in effect as of 5 April.
</a:t>
          </a:r>
          <a:r>
            <a:rPr lang="en-US" cap="none" sz="1000" b="0" i="0" u="none" baseline="0">
              <a:solidFill>
                <a:srgbClr val="000000"/>
              </a:solidFill>
              <a:latin typeface="Avenir LT Std 65 Medium"/>
              <a:ea typeface="Avenir LT Std 65 Medium"/>
              <a:cs typeface="Avenir LT Std 65 Medium"/>
            </a:rPr>
            <a:t>(k) The PIT rate on (grossed-up) dividend (column 6) is defined as the sum of the maximum federal personal income tax rate on dividends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2013.
</a:t>
          </a:r>
          <a:r>
            <a:rPr lang="en-US" cap="none" sz="1000" b="0" i="0" u="none" baseline="0">
              <a:solidFill>
                <a:srgbClr val="000000"/>
              </a:solidFill>
              <a:latin typeface="Avenir LT Std 65 Medium"/>
              <a:ea typeface="Avenir LT Std 65 Medium"/>
              <a:cs typeface="Avenir LT Std 65 Medium"/>
            </a:rPr>
            <a:t>http://www.oecd.org/tax/tax-policy/Table%20II.4_Nov%202013.xlsx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47625</xdr:rowOff>
    </xdr:from>
    <xdr:to>
      <xdr:col>26</xdr:col>
      <xdr:colOff>0</xdr:colOff>
      <xdr:row>100</xdr:row>
      <xdr:rowOff>76200</xdr:rowOff>
    </xdr:to>
    <xdr:sp>
      <xdr:nvSpPr>
        <xdr:cNvPr id="1" name="Text Box 1"/>
        <xdr:cNvSpPr txBox="1">
          <a:spLocks noChangeArrowheads="1"/>
        </xdr:cNvSpPr>
      </xdr:nvSpPr>
      <xdr:spPr>
        <a:xfrm>
          <a:off x="0" y="8753475"/>
          <a:ext cx="9201150" cy="87725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(b) For shares issued before 1. January 1994 the (withholding) personal income tax rate is 25 per cent. The withholding tax is final, if the shareholder so chooses.
</a:t>
          </a:r>
          <a:r>
            <a:rPr lang="en-US" cap="none" sz="1000" b="0" i="0" u="none" baseline="0">
              <a:solidFill>
                <a:srgbClr val="000000"/>
              </a:solidFill>
              <a:latin typeface="Avenir LT Std 65 Medium"/>
              <a:ea typeface="Avenir LT Std 65 Medium"/>
              <a:cs typeface="Avenir LT Std 65 Medium"/>
            </a:rPr>
            <a:t>(c) Part of the dividends from non-listed companies is taxed as earned income. Since the highest marginal tax rate is higher for earned income than for capital income, the net personal tax in this table would not be zero for such companies. 
</a:t>
          </a:r>
          <a:r>
            <a:rPr lang="en-US" cap="none" sz="1000" b="0" i="0" u="none" baseline="0">
              <a:solidFill>
                <a:srgbClr val="000000"/>
              </a:solidFill>
              <a:latin typeface="Avenir LT Std 65 Medium"/>
              <a:ea typeface="Avenir LT Std 65 Medium"/>
              <a:cs typeface="Avenir LT Std 65 Medium"/>
            </a:rPr>
            <a:t>(d) These are the rates applying to income earned in 2004, to be paid in 2005. For companies not paying the CSB (</a:t>
          </a:r>
          <a:r>
            <a:rPr lang="en-US" cap="none" sz="1000" b="0" i="1" u="none" baseline="0">
              <a:solidFill>
                <a:srgbClr val="000000"/>
              </a:solidFill>
              <a:latin typeface="Avenir LT Std 65 Medium"/>
              <a:ea typeface="Avenir LT Std 65 Medium"/>
              <a:cs typeface="Avenir LT Std 65 Medium"/>
            </a:rPr>
            <a:t>Contribution Sociale sur les Bénéficies</a:t>
          </a:r>
          <a:r>
            <a:rPr lang="en-US" cap="none" sz="1000" b="0" i="0" u="none" baseline="0">
              <a:solidFill>
                <a:srgbClr val="000000"/>
              </a:solidFill>
              <a:latin typeface="Avenir LT Std 65 Medium"/>
              <a:ea typeface="Avenir LT Std 65 Medium"/>
              <a:cs typeface="Avenir LT Std 65 Medium"/>
            </a:rPr>
            <a:t>), the corporate income tax rates are 1.1 percentage points lower. See Table II.1 for more details.The rate in column 6 shows the rate as from 1 July 2004 when the total prélèlement sociaux was increased from 10.0 to 10.3 per cent. 
</a:t>
          </a:r>
          <a:r>
            <a:rPr lang="en-US" cap="none" sz="1000" b="0" i="0" u="none" baseline="0">
              <a:solidFill>
                <a:srgbClr val="000000"/>
              </a:solidFill>
              <a:latin typeface="Avenir LT Std 65 Medium"/>
              <a:ea typeface="Avenir LT Std 65 Medium"/>
              <a:cs typeface="Avenir LT Std 65 Medium"/>
            </a:rPr>
            <a:t>(e) Distributed dividends that exceeds a threshold equal to 30 per cent of the value of the share are taxed at the shareholder level at a personal income tax rate of 35%. For dividends below this threshold, the rate is 20%. 
</a:t>
          </a:r>
          <a:r>
            <a:rPr lang="en-US" cap="none" sz="1000" b="0" i="0" u="none" baseline="0">
              <a:solidFill>
                <a:srgbClr val="000000"/>
              </a:solidFill>
              <a:latin typeface="Avenir LT Std 65 Medium"/>
              <a:ea typeface="Avenir LT Std 65 Medium"/>
              <a:cs typeface="Avenir LT Std 65 Medium"/>
            </a:rPr>
            <a:t>(f) Dividends distributed by listed corporations are withheld at a rate of 20% (10% for dividends distributed during the period between April 2003 and March 2009), and the taxpayer can choose not to include the dividend income in the tax return. On the other hand, if dividends are subject to an aggregate tax, the Credit for Dividends (to deduct 6.4%-12.8% of dividend income from income tax and local inhabitants tax) is applicable. 
</a:t>
          </a:r>
          <a:r>
            <a:rPr lang="en-US" cap="none" sz="1000" b="0" i="0" u="none" baseline="0">
              <a:solidFill>
                <a:srgbClr val="000000"/>
              </a:solidFill>
              <a:latin typeface="Avenir LT Std 65 Medium"/>
              <a:ea typeface="Avenir LT Std 65 Medium"/>
              <a:cs typeface="Avenir LT Std 65 Medium"/>
            </a:rPr>
            <a:t>(g) New Zealand has a non-calendar tax year. The rates shown are those in effect as of 1 April.</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(h) The corporate income tax rate includes the church tax, while the personal income tax rates excludes it.
</a:t>
          </a:r>
          <a:r>
            <a:rPr lang="en-US" cap="none" sz="1000" b="0" i="0" u="none" baseline="0">
              <a:solidFill>
                <a:srgbClr val="000000"/>
              </a:solidFill>
              <a:latin typeface="Avenir LT Std 65 Medium"/>
              <a:ea typeface="Avenir LT Std 65 Medium"/>
              <a:cs typeface="Avenir LT Std 65 Medium"/>
            </a:rPr>
            <a:t>(i) United Kingdom has a non-calendar tax year. Rhe rates shown are those in effect as of 5 April.</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(j) The PIT rate on (grossed-up) dividend (column 6) is defined as the sum of the maximum federal personal income tax rate on dividends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2013.
</a:t>
          </a:r>
          <a:r>
            <a:rPr lang="en-US" cap="none" sz="1000" b="0" i="0" u="none" baseline="0">
              <a:solidFill>
                <a:srgbClr val="000000"/>
              </a:solidFill>
              <a:latin typeface="Avenir LT Std 65 Medium"/>
              <a:ea typeface="Avenir LT Std 65 Medium"/>
              <a:cs typeface="Avenir LT Std 65 Medium"/>
            </a:rPr>
            <a:t>http://www.oecd.org/tax/tax-policy/Table%20II.4_Nov%202013.xlsx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47625</xdr:rowOff>
    </xdr:from>
    <xdr:to>
      <xdr:col>26</xdr:col>
      <xdr:colOff>0</xdr:colOff>
      <xdr:row>100</xdr:row>
      <xdr:rowOff>114300</xdr:rowOff>
    </xdr:to>
    <xdr:sp>
      <xdr:nvSpPr>
        <xdr:cNvPr id="1" name="Text Box 1"/>
        <xdr:cNvSpPr txBox="1">
          <a:spLocks noChangeArrowheads="1"/>
        </xdr:cNvSpPr>
      </xdr:nvSpPr>
      <xdr:spPr>
        <a:xfrm>
          <a:off x="0" y="8753475"/>
          <a:ext cx="9144000" cy="88106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(b) For shares issued before 1. January 1994 the (withholding) personal income tax rate is 25 per cent. The withholding tax is final, if the shareholder so chooses.
</a:t>
          </a:r>
          <a:r>
            <a:rPr lang="en-US" cap="none" sz="1000" b="0" i="0" u="none" baseline="0">
              <a:solidFill>
                <a:srgbClr val="000000"/>
              </a:solidFill>
              <a:latin typeface="Avenir LT Std 65 Medium"/>
              <a:ea typeface="Avenir LT Std 65 Medium"/>
              <a:cs typeface="Avenir LT Std 65 Medium"/>
            </a:rPr>
            <a:t>(c) Part of the dividends from non-listed companies is taxed as earned income. Since the highest marginal tax rate is higher for earned income than for capital income, the net personal tax in this table would not be zero for such companies. 
</a:t>
          </a:r>
          <a:r>
            <a:rPr lang="en-US" cap="none" sz="1000" b="0" i="0" u="none" baseline="0">
              <a:solidFill>
                <a:srgbClr val="000000"/>
              </a:solidFill>
              <a:latin typeface="Avenir LT Std 65 Medium"/>
              <a:ea typeface="Avenir LT Std 65 Medium"/>
              <a:cs typeface="Avenir LT Std 65 Medium"/>
            </a:rPr>
            <a:t>(d) These are the rates applying to income earned in 2003, to be paid in 2004. For companies not paying the CSB (</a:t>
          </a:r>
          <a:r>
            <a:rPr lang="en-US" cap="none" sz="1000" b="0" i="1" u="none" baseline="0">
              <a:solidFill>
                <a:srgbClr val="000000"/>
              </a:solidFill>
              <a:latin typeface="Avenir LT Std 65 Medium"/>
              <a:ea typeface="Avenir LT Std 65 Medium"/>
              <a:cs typeface="Avenir LT Std 65 Medium"/>
            </a:rPr>
            <a:t>Contribution Sociale sur les Bénéficies</a:t>
          </a:r>
          <a:r>
            <a:rPr lang="en-US" cap="none" sz="1000" b="0" i="0" u="none" baseline="0">
              <a:solidFill>
                <a:srgbClr val="000000"/>
              </a:solidFill>
              <a:latin typeface="Avenir LT Std 65 Medium"/>
              <a:ea typeface="Avenir LT Std 65 Medium"/>
              <a:cs typeface="Avenir LT Std 65 Medium"/>
            </a:rPr>
            <a:t>), the corporate income tax rates are 1.1 percentage points lower. See Table II.1 for more details.
</a:t>
          </a:r>
          <a:r>
            <a:rPr lang="en-US" cap="none" sz="1000" b="0" i="0" u="none" baseline="0">
              <a:solidFill>
                <a:srgbClr val="000000"/>
              </a:solidFill>
              <a:latin typeface="Avenir LT Std 65 Medium"/>
              <a:ea typeface="Avenir LT Std 65 Medium"/>
              <a:cs typeface="Avenir LT Std 65 Medium"/>
            </a:rPr>
            <a:t>(e) Distributed dividends that exceeds a threshold equal to the value of the share times the double of the basic rate of interest of the central bank are taxed at the shareholder level at a personal income tax rate of 35%. For dividends below this threshold, the rate is 20%. 
</a:t>
          </a:r>
          <a:r>
            <a:rPr lang="en-US" cap="none" sz="1000" b="0" i="0" u="none" baseline="0">
              <a:solidFill>
                <a:srgbClr val="000000"/>
              </a:solidFill>
              <a:latin typeface="Avenir LT Std 65 Medium"/>
              <a:ea typeface="Avenir LT Std 65 Medium"/>
              <a:cs typeface="Avenir LT Std 65 Medium"/>
            </a:rPr>
            <a:t>(f) A half-income system replaced the imputation system as of 24 April 2003. From the same date, the withholding tax of 10 per cent can be credited against personal income tax (but the fund levy is not credited). The fund levy does not apply for corporate income gained in 2003 to be distributed in 2004 onwards.
</a:t>
          </a:r>
          <a:r>
            <a:rPr lang="en-US" cap="none" sz="1000" b="0" i="0" u="none" baseline="0">
              <a:solidFill>
                <a:srgbClr val="000000"/>
              </a:solidFill>
              <a:latin typeface="Avenir LT Std 65 Medium"/>
              <a:ea typeface="Avenir LT Std 65 Medium"/>
              <a:cs typeface="Avenir LT Std 65 Medium"/>
            </a:rPr>
            <a:t>(g) New Zealand has a non-calendar tax year. The rates shown are those in effect as of 1 April.</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(h) The corporate income tax rate includes the church tax, while the personal income tax rates excludes it.
</a:t>
          </a:r>
          <a:r>
            <a:rPr lang="en-US" cap="none" sz="1000" b="0" i="0" u="none" baseline="0">
              <a:solidFill>
                <a:srgbClr val="000000"/>
              </a:solidFill>
              <a:latin typeface="Avenir LT Std 65 Medium"/>
              <a:ea typeface="Avenir LT Std 65 Medium"/>
              <a:cs typeface="Avenir LT Std 65 Medium"/>
            </a:rPr>
            <a:t>(i) United Kingdom has a non-calendar tax year. The rates shown are those in effect as of 5 April.</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(j) The PIT rate on (grossed-up) dividend (column 6) is defined as the sum of the maximum federal personal income tax rate on dividends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2013.
</a:t>
          </a:r>
          <a:r>
            <a:rPr lang="en-US" cap="none" sz="1000" b="0" i="0" u="none" baseline="0">
              <a:solidFill>
                <a:srgbClr val="000000"/>
              </a:solidFill>
              <a:latin typeface="Avenir LT Std 65 Medium"/>
              <a:ea typeface="Avenir LT Std 65 Medium"/>
              <a:cs typeface="Avenir LT Std 65 Medium"/>
            </a:rPr>
            <a:t>http://www.oecd.org/tax/tax-policy/Table%20II.4_Nov%202013.xlsx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9525</xdr:rowOff>
    </xdr:from>
    <xdr:to>
      <xdr:col>26</xdr:col>
      <xdr:colOff>200025</xdr:colOff>
      <xdr:row>99</xdr:row>
      <xdr:rowOff>95250</xdr:rowOff>
    </xdr:to>
    <xdr:sp>
      <xdr:nvSpPr>
        <xdr:cNvPr id="1" name="Text Box 13"/>
        <xdr:cNvSpPr txBox="1">
          <a:spLocks noChangeArrowheads="1"/>
        </xdr:cNvSpPr>
      </xdr:nvSpPr>
      <xdr:spPr>
        <a:xfrm>
          <a:off x="0" y="8877300"/>
          <a:ext cx="9334500" cy="85058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(b) For shares issued before 1. January 1994 the (withholding) personal income tax rate is 25 per cent. The withholding tax is final, if the shareholder so chooses.
</a:t>
          </a:r>
          <a:r>
            <a:rPr lang="en-US" cap="none" sz="1000" b="0" i="0" u="none" baseline="0">
              <a:solidFill>
                <a:srgbClr val="000000"/>
              </a:solidFill>
              <a:latin typeface="Avenir LT Std 65 Medium"/>
              <a:ea typeface="Avenir LT Std 65 Medium"/>
              <a:cs typeface="Avenir LT Std 65 Medium"/>
            </a:rPr>
            <a:t>(c)</a:t>
          </a:r>
          <a:r>
            <a:rPr lang="en-US" cap="none" sz="1000" b="0" i="0" u="none" baseline="0">
              <a:solidFill>
                <a:srgbClr val="000000"/>
              </a:solidFill>
              <a:latin typeface="Avenir LT Std 65 Medium"/>
              <a:ea typeface="Avenir LT Std 65 Medium"/>
              <a:cs typeface="Avenir LT Std 65 Medium"/>
            </a:rPr>
            <a:t> P</a:t>
          </a:r>
          <a:r>
            <a:rPr lang="en-US" cap="none" sz="1000" b="0" i="0" u="none" baseline="0">
              <a:solidFill>
                <a:srgbClr val="000000"/>
              </a:solidFill>
              <a:latin typeface="Avenir LT Std 65 Medium"/>
              <a:ea typeface="Avenir LT Std 65 Medium"/>
              <a:cs typeface="Avenir LT Std 65 Medium"/>
            </a:rPr>
            <a:t>art of the dividends from non-listed companies is taxed as earned income. Since the highest marginal tax rate is higher for earned income than for capital income, the net personal tax in this table would not be zero for such companies. 
</a:t>
          </a:r>
          <a:r>
            <a:rPr lang="en-US" cap="none" sz="1000" b="0" i="0" u="none" baseline="0">
              <a:solidFill>
                <a:srgbClr val="000000"/>
              </a:solidFill>
              <a:latin typeface="Avenir LT Std 65 Medium"/>
              <a:ea typeface="Avenir LT Std 65 Medium"/>
              <a:cs typeface="Avenir LT Std 65 Medium"/>
            </a:rPr>
            <a:t>(d) These are the rates applying to income earned in 2002, to be paid in 2003. For companies not paying the CSB (</a:t>
          </a:r>
          <a:r>
            <a:rPr lang="en-US" cap="none" sz="1000" b="0" i="1" u="none" baseline="0">
              <a:solidFill>
                <a:srgbClr val="000000"/>
              </a:solidFill>
              <a:latin typeface="Avenir LT Std 65 Medium"/>
              <a:ea typeface="Avenir LT Std 65 Medium"/>
              <a:cs typeface="Avenir LT Std 65 Medium"/>
            </a:rPr>
            <a:t>Contribution Sociale sur les Bénéficies</a:t>
          </a:r>
          <a:r>
            <a:rPr lang="en-US" cap="none" sz="1000" b="0" i="0" u="none" baseline="0">
              <a:solidFill>
                <a:srgbClr val="000000"/>
              </a:solidFill>
              <a:latin typeface="Avenir LT Std 65 Medium"/>
              <a:ea typeface="Avenir LT Std 65 Medium"/>
              <a:cs typeface="Avenir LT Std 65 Medium"/>
            </a:rPr>
            <a:t>), the corporate income tax rates are 1.1 percentage points lower. See Table II.1 for more details.
</a:t>
          </a:r>
          <a:r>
            <a:rPr lang="en-US" cap="none" sz="1000" b="0" i="0" u="none" baseline="0">
              <a:solidFill>
                <a:srgbClr val="000000"/>
              </a:solidFill>
              <a:latin typeface="Avenir LT Std 65 Medium"/>
              <a:ea typeface="Avenir LT Std 65 Medium"/>
              <a:cs typeface="Avenir LT Std 65 Medium"/>
            </a:rPr>
            <a:t>(e) Distributed dividends that exceeds a threshold equal to the value of the share times the double of the basic rate of interest of the central bank are taxed at the shareholder level at a personal income tax rate of 35%. For dividends below this threshold, the rate is 20%. 
</a:t>
          </a:r>
          <a:r>
            <a:rPr lang="en-US" cap="none" sz="1000" b="0" i="0" u="none" baseline="0">
              <a:solidFill>
                <a:srgbClr val="000000"/>
              </a:solidFill>
              <a:latin typeface="Avenir LT Std 65 Medium"/>
              <a:ea typeface="Avenir LT Std 65 Medium"/>
              <a:cs typeface="Avenir LT Std 65 Medium"/>
            </a:rPr>
            <a:t>(f) New Zealand has a non-calendar tax year. The rates shown are those in effect as of 1 April.</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(g) The corporate income tax rate includes the church tax, while the personal income tax rates excludes it.
</a:t>
          </a:r>
          <a:r>
            <a:rPr lang="en-US" cap="none" sz="1000" b="0" i="0" u="none" baseline="0">
              <a:solidFill>
                <a:srgbClr val="000000"/>
              </a:solidFill>
              <a:latin typeface="Avenir LT Std 65 Medium"/>
              <a:ea typeface="Avenir LT Std 65 Medium"/>
              <a:cs typeface="Avenir LT Std 65 Medium"/>
            </a:rPr>
            <a:t>(h) The imputation tax credit is equal to 110% of the imputation amount which is 1/5 of the net amount of the dividend (after witholding tax). It is calculated as ((100-16.5)/5)*1.1 = 18.37.
</a:t>
          </a:r>
          <a:r>
            <a:rPr lang="en-US" cap="none" sz="1000" b="0" i="0" u="none" baseline="0">
              <a:solidFill>
                <a:srgbClr val="000000"/>
              </a:solidFill>
              <a:latin typeface="Avenir LT Std 65 Medium"/>
              <a:ea typeface="Avenir LT Std 65 Medium"/>
              <a:cs typeface="Avenir LT Std 65 Medium"/>
            </a:rPr>
            <a:t>(i) United Kingdom has a non-calendar tax year. The rates shown are those in effect as of 5 April.</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(j) The PIT rate on (grossed-up) dividend (column 6) is defined as the sum of the maximum federal personal income tax rate on dividends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2013.
</a:t>
          </a:r>
          <a:r>
            <a:rPr lang="en-US" cap="none" sz="1000" b="0" i="0" u="none" baseline="0">
              <a:solidFill>
                <a:srgbClr val="000000"/>
              </a:solidFill>
              <a:latin typeface="Avenir LT Std 65 Medium"/>
              <a:ea typeface="Avenir LT Std 65 Medium"/>
              <a:cs typeface="Avenir LT Std 65 Medium"/>
            </a:rPr>
            <a:t>http://www.oecd.org/tax/tax-policy/Table%20II.4_Nov%202013.xlsx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28575</xdr:rowOff>
    </xdr:from>
    <xdr:to>
      <xdr:col>26</xdr:col>
      <xdr:colOff>200025</xdr:colOff>
      <xdr:row>101</xdr:row>
      <xdr:rowOff>142875</xdr:rowOff>
    </xdr:to>
    <xdr:sp>
      <xdr:nvSpPr>
        <xdr:cNvPr id="1" name="Text Box 13"/>
        <xdr:cNvSpPr txBox="1">
          <a:spLocks noChangeArrowheads="1"/>
        </xdr:cNvSpPr>
      </xdr:nvSpPr>
      <xdr:spPr>
        <a:xfrm>
          <a:off x="0" y="8505825"/>
          <a:ext cx="9410700" cy="88582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(b) For shares issued before 1. January 1994 the (withholding) personal income tax rate is 25 per cent. The withholding tax is final, if the shareholder so chooses.
</a:t>
          </a:r>
          <a:r>
            <a:rPr lang="en-US" cap="none" sz="1000" b="0" i="0" u="none" baseline="0">
              <a:solidFill>
                <a:srgbClr val="000000"/>
              </a:solidFill>
              <a:latin typeface="Avenir LT Std 65 Medium"/>
              <a:ea typeface="Avenir LT Std 65 Medium"/>
              <a:cs typeface="Avenir LT Std 65 Medium"/>
            </a:rPr>
            <a:t>(c) Part of the dividends from non-listed companies is taxed as earned income. Since the highest marginal tax rate is higher for earned income than for capital income, the net personal tax in this table would not be zero for such companies. 
</a:t>
          </a:r>
          <a:r>
            <a:rPr lang="en-US" cap="none" sz="1000" b="0" i="0" u="none" baseline="0">
              <a:solidFill>
                <a:srgbClr val="000000"/>
              </a:solidFill>
              <a:latin typeface="Avenir LT Std 65 Medium"/>
              <a:ea typeface="Avenir LT Std 65 Medium"/>
              <a:cs typeface="Avenir LT Std 65 Medium"/>
            </a:rPr>
            <a:t>(d) These are the rates applying to income earned in 2001, to be paid in 2002. For companies not paying the CSB (</a:t>
          </a:r>
          <a:r>
            <a:rPr lang="en-US" cap="none" sz="1000" b="0" i="1" u="none" baseline="0">
              <a:solidFill>
                <a:srgbClr val="000000"/>
              </a:solidFill>
              <a:latin typeface="Avenir LT Std 65 Medium"/>
              <a:ea typeface="Avenir LT Std 65 Medium"/>
              <a:cs typeface="Avenir LT Std 65 Medium"/>
            </a:rPr>
            <a:t>Contribution Sociale sur les Bénéficies</a:t>
          </a:r>
          <a:r>
            <a:rPr lang="en-US" cap="none" sz="1000" b="0" i="0" u="none" baseline="0">
              <a:solidFill>
                <a:srgbClr val="000000"/>
              </a:solidFill>
              <a:latin typeface="Avenir LT Std 65 Medium"/>
              <a:ea typeface="Avenir LT Std 65 Medium"/>
              <a:cs typeface="Avenir LT Std 65 Medium"/>
            </a:rPr>
            <a:t>), the corporate income tax rates are 1.1 percentage points lower. See Table II.1 for more details.
</a:t>
          </a:r>
          <a:r>
            <a:rPr lang="en-US" cap="none" sz="1000" b="0" i="0" u="none" baseline="0">
              <a:solidFill>
                <a:srgbClr val="000000"/>
              </a:solidFill>
              <a:latin typeface="Avenir LT Std 65 Medium"/>
              <a:ea typeface="Avenir LT Std 65 Medium"/>
              <a:cs typeface="Avenir LT Std 65 Medium"/>
            </a:rPr>
            <a:t>(e) Profits from 2000 distributed in 2001 is still subject to the former full imputation system.
</a:t>
          </a:r>
          <a:r>
            <a:rPr lang="en-US" cap="none" sz="1000" b="0" i="0" u="none" baseline="0">
              <a:solidFill>
                <a:srgbClr val="000000"/>
              </a:solidFill>
              <a:latin typeface="Avenir LT Std 65 Medium"/>
              <a:ea typeface="Avenir LT Std 65 Medium"/>
              <a:cs typeface="Avenir LT Std 65 Medium"/>
            </a:rPr>
            <a:t>(f) Distributed dividends that exceeds a threshold equal to the value of the share times the double of the basic rate of interest of the central bank are taxed at the shareholder level at a personal income tax rate of 35%. For dividends below this threshold, the rate is 20%. 
</a:t>
          </a:r>
          <a:r>
            <a:rPr lang="en-US" cap="none" sz="1000" b="0" i="0" u="none" baseline="0">
              <a:solidFill>
                <a:srgbClr val="000000"/>
              </a:solidFill>
              <a:latin typeface="Avenir LT Std 65 Medium"/>
              <a:ea typeface="Avenir LT Std 65 Medium"/>
              <a:cs typeface="Avenir LT Std 65 Medium"/>
            </a:rPr>
            <a:t>(g) New Zealand has a non-calendar tax year. The rates shown are those in effect as of 1 April.</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(h) The corporate income tax rate includes the church tax, while the personal income tax rates excludes it.
</a:t>
          </a:r>
          <a:r>
            <a:rPr lang="en-US" cap="none" sz="1000" b="0" i="0" u="none" baseline="0">
              <a:solidFill>
                <a:srgbClr val="000000"/>
              </a:solidFill>
              <a:latin typeface="Avenir LT Std 65 Medium"/>
              <a:ea typeface="Avenir LT Std 65 Medium"/>
              <a:cs typeface="Avenir LT Std 65 Medium"/>
            </a:rPr>
            <a:t>(i) The imputation tax credit is equal to 110% of the imputation amount which is 1/5 of the net amount of the dividend (after witholding tax). It is calculated as ((100-16.5)/5)*1.1 = 18.37.
</a:t>
          </a:r>
          <a:r>
            <a:rPr lang="en-US" cap="none" sz="1000" b="0" i="0" u="none" baseline="0">
              <a:solidFill>
                <a:srgbClr val="000000"/>
              </a:solidFill>
              <a:latin typeface="Avenir LT Std 65 Medium"/>
              <a:ea typeface="Avenir LT Std 65 Medium"/>
              <a:cs typeface="Avenir LT Std 65 Medium"/>
            </a:rPr>
            <a:t>(j) United Kingdom has a non-calendar. Tax year the rates shown are those in effect as of 5 April.</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(k) The PIT rate on (grossed-up) dividend (column 6) is defined as the sum of the maximum federal personal income tax rate on dividends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2013.
</a:t>
          </a:r>
          <a:r>
            <a:rPr lang="en-US" cap="none" sz="1000" b="0" i="0" u="none" baseline="0">
              <a:solidFill>
                <a:srgbClr val="000000"/>
              </a:solidFill>
              <a:latin typeface="Avenir LT Std 65 Medium"/>
              <a:ea typeface="Avenir LT Std 65 Medium"/>
              <a:cs typeface="Avenir LT Std 65 Medium"/>
            </a:rPr>
            <a:t>http://www.oecd.org/tax/tax-policy/Table%20II.4_Nov%202013.xlsx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104775</xdr:rowOff>
    </xdr:from>
    <xdr:to>
      <xdr:col>26</xdr:col>
      <xdr:colOff>200025</xdr:colOff>
      <xdr:row>100</xdr:row>
      <xdr:rowOff>28575</xdr:rowOff>
    </xdr:to>
    <xdr:sp>
      <xdr:nvSpPr>
        <xdr:cNvPr id="1" name="Text Box 23"/>
        <xdr:cNvSpPr txBox="1">
          <a:spLocks noChangeArrowheads="1"/>
        </xdr:cNvSpPr>
      </xdr:nvSpPr>
      <xdr:spPr>
        <a:xfrm>
          <a:off x="0" y="8515350"/>
          <a:ext cx="9363075" cy="8667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 country specific footnotes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Except for split rate system like in Germany where the rates are different.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(b) For shares issued before 1. January 1994 the (withholding) personal income tax rate is 25 per cent. The withholding tax is final, if the shareholder so chooses.
</a:t>
          </a:r>
          <a:r>
            <a:rPr lang="en-US" cap="none" sz="1000" b="0" i="0" u="none" baseline="0">
              <a:solidFill>
                <a:srgbClr val="000000"/>
              </a:solidFill>
              <a:latin typeface="Avenir LT Std 65 Medium"/>
              <a:ea typeface="Avenir LT Std 65 Medium"/>
              <a:cs typeface="Avenir LT Std 65 Medium"/>
            </a:rPr>
            <a:t>(c) Part of the dividends from non-listed companies is taxed as earned income. Since the highest marginal tax rate is higher for earned income than for capital income, the net personal tax in this table would not be zero for such companies. 
</a:t>
          </a:r>
          <a:r>
            <a:rPr lang="en-US" cap="none" sz="1000" b="0" i="0" u="none" baseline="0">
              <a:solidFill>
                <a:srgbClr val="000000"/>
              </a:solidFill>
              <a:latin typeface="Avenir LT Std 65 Medium"/>
              <a:ea typeface="Avenir LT Std 65 Medium"/>
              <a:cs typeface="Avenir LT Std 65 Medium"/>
            </a:rPr>
            <a:t>(d) These are the rates applying to income earned in 2000, to be paid in 2001. For companies not paying the CSB (</a:t>
          </a:r>
          <a:r>
            <a:rPr lang="en-US" cap="none" sz="1000" b="0" i="1" u="none" baseline="0">
              <a:solidFill>
                <a:srgbClr val="000000"/>
              </a:solidFill>
              <a:latin typeface="Avenir LT Std 65 Medium"/>
              <a:ea typeface="Avenir LT Std 65 Medium"/>
              <a:cs typeface="Avenir LT Std 65 Medium"/>
            </a:rPr>
            <a:t>Contribution Sociale sur les Bénéficies</a:t>
          </a:r>
          <a:r>
            <a:rPr lang="en-US" cap="none" sz="1000" b="0" i="0" u="none" baseline="0">
              <a:solidFill>
                <a:srgbClr val="000000"/>
              </a:solidFill>
              <a:latin typeface="Avenir LT Std 65 Medium"/>
              <a:ea typeface="Avenir LT Std 65 Medium"/>
              <a:cs typeface="Avenir LT Std 65 Medium"/>
            </a:rPr>
            <a:t>), the corporate income tax rates are 1.1 percentage points lower. See Table II.1 for more details.
</a:t>
          </a:r>
          <a:r>
            <a:rPr lang="en-US" cap="none" sz="1000" b="0" i="0" u="none" baseline="0">
              <a:solidFill>
                <a:srgbClr val="000000"/>
              </a:solidFill>
              <a:latin typeface="Avenir LT Std 65 Medium"/>
              <a:ea typeface="Avenir LT Std 65 Medium"/>
              <a:cs typeface="Avenir LT Std 65 Medium"/>
            </a:rPr>
            <a:t>(e) Distributed dividends that exceeds a threshold equal to the value of the share times the double of the basic rate of interest of the central bank are taxed at the shareholder level at a personal income tax rate of 35%. For dividends below this threshold, the rate is 20%. 
</a:t>
          </a:r>
          <a:r>
            <a:rPr lang="en-US" cap="none" sz="1000" b="0" i="0" u="none" baseline="0">
              <a:solidFill>
                <a:srgbClr val="000000"/>
              </a:solidFill>
              <a:latin typeface="Avenir LT Std 65 Medium"/>
              <a:ea typeface="Avenir LT Std 65 Medium"/>
              <a:cs typeface="Avenir LT Std 65 Medium"/>
            </a:rPr>
            <a:t>(f) New Zealand has a non-calendar tax year. The rates shown are those in effect as of 1 April.</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(g) The corporate income tax rate includes the church tax, while the personal income tax rates excludes it.
</a:t>
          </a:r>
          <a:r>
            <a:rPr lang="en-US" cap="none" sz="1000" b="0" i="0" u="none" baseline="0">
              <a:solidFill>
                <a:srgbClr val="000000"/>
              </a:solidFill>
              <a:latin typeface="Avenir LT Std 65 Medium"/>
              <a:ea typeface="Avenir LT Std 65 Medium"/>
              <a:cs typeface="Avenir LT Std 65 Medium"/>
            </a:rPr>
            <a:t>(h)</a:t>
          </a:r>
          <a:r>
            <a:rPr lang="en-US" cap="none" sz="1000" b="0" i="0" u="none" baseline="0">
              <a:solidFill>
                <a:srgbClr val="000000"/>
              </a:solidFill>
              <a:latin typeface="Avenir LT Std 65 Medium"/>
              <a:ea typeface="Avenir LT Std 65 Medium"/>
              <a:cs typeface="Avenir LT Std 65 Medium"/>
            </a:rPr>
            <a:t> T</a:t>
          </a:r>
          <a:r>
            <a:rPr lang="en-US" cap="none" sz="1000" b="0" i="0" u="none" baseline="0">
              <a:solidFill>
                <a:srgbClr val="000000"/>
              </a:solidFill>
              <a:latin typeface="Avenir LT Std 65 Medium"/>
              <a:ea typeface="Avenir LT Std 65 Medium"/>
              <a:cs typeface="Avenir LT Std 65 Medium"/>
            </a:rPr>
            <a:t>he imputation tax credit is equal to 110% of the imputation amount which is 1/5 of the net amount of the dividend (after witholding tax). It is calculated as ((100-16.5)/5)*1.1 = 18.37.
</a:t>
          </a:r>
          <a:r>
            <a:rPr lang="en-US" cap="none" sz="1000" b="0" i="0" u="none" baseline="0">
              <a:solidFill>
                <a:srgbClr val="000000"/>
              </a:solidFill>
              <a:latin typeface="Avenir LT Std 65 Medium"/>
              <a:ea typeface="Avenir LT Std 65 Medium"/>
              <a:cs typeface="Avenir LT Std 65 Medium"/>
            </a:rPr>
            <a:t>(i) United Kingdom has a non-calendar tax year. The rates shown are those in effect as of 5 April.</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(j) The PIT rate on (grossed-up) dividend (column 6) is defined as the sum of the maximum federal personal income tax rate on dividends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2013.
</a:t>
          </a:r>
          <a:r>
            <a:rPr lang="en-US" cap="none" sz="1000" b="0" i="0" u="none" baseline="0">
              <a:solidFill>
                <a:srgbClr val="000000"/>
              </a:solidFill>
              <a:latin typeface="Avenir LT Std 65 Medium"/>
              <a:ea typeface="Avenir LT Std 65 Medium"/>
              <a:cs typeface="Avenir LT Std 65 Medium"/>
            </a:rPr>
            <a:t>http://www.oecd.org/tax/tax-policy/Table%20II.4_Nov%202013.xlsx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133350</xdr:rowOff>
    </xdr:from>
    <xdr:to>
      <xdr:col>26</xdr:col>
      <xdr:colOff>0</xdr:colOff>
      <xdr:row>128</xdr:row>
      <xdr:rowOff>76200</xdr:rowOff>
    </xdr:to>
    <xdr:sp>
      <xdr:nvSpPr>
        <xdr:cNvPr id="1" name="Text Box 1"/>
        <xdr:cNvSpPr txBox="1">
          <a:spLocks noChangeArrowheads="1"/>
        </xdr:cNvSpPr>
      </xdr:nvSpPr>
      <xdr:spPr>
        <a:xfrm>
          <a:off x="0" y="9496425"/>
          <a:ext cx="9134475" cy="13220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a:t>
          </a:r>
          <a:r>
            <a:rPr lang="en-US" cap="none" sz="1000" b="0" i="0" u="none" baseline="0">
              <a:solidFill>
                <a:srgbClr val="000000"/>
              </a:solidFill>
              <a:latin typeface="Avenir LT Std 65 Medium"/>
              <a:ea typeface="Avenir LT Std 65 Medium"/>
              <a:cs typeface="Avenir LT Std 65 Medium"/>
            </a:rPr>
            <a:t>gross-up</a:t>
          </a:r>
          <a:r>
            <a:rPr lang="en-US" cap="none" sz="1000" b="0" i="0" u="none" baseline="0">
              <a:solidFill>
                <a:srgbClr val="000000"/>
              </a:solidFill>
              <a:latin typeface="Avenir LT Std 65 Medium"/>
              <a:ea typeface="Avenir LT Std 65 Medium"/>
              <a:cs typeface="Avenir LT Std 65 Medium"/>
            </a:rPr>
            <a:t>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
</a:t>
          </a:r>
          <a:r>
            <a:rPr lang="en-US" cap="none" sz="1000" b="0" i="0" u="none" baseline="0">
              <a:solidFill>
                <a:srgbClr val="000000"/>
              </a:solidFill>
              <a:latin typeface="Avenir LT Std 65 Medium"/>
              <a:ea typeface="Avenir LT Std 65 Medium"/>
              <a:cs typeface="Avenir LT Std 65 Medium"/>
            </a:rPr>
            <a:t>(b) The 25% (withholding) personal income tax is final, if the shareholder so chooses. The lower the return on equity before tax, the lower the effective tax rate due to the allowance for corporate equity (ACE). E.g. the effective corporate tax rate is only half the nominal (statutory) corporate income tax rate when the return on equity before tax is twice the notional interest rate (2.742% in 2013).
</a:t>
          </a:r>
          <a:r>
            <a:rPr lang="en-US" cap="none" sz="1000" b="0" i="0" u="none" baseline="0">
              <a:solidFill>
                <a:srgbClr val="000000"/>
              </a:solidFill>
              <a:latin typeface="Avenir LT Std 65 Medium"/>
              <a:ea typeface="Avenir LT Std 65 Medium"/>
              <a:cs typeface="Avenir LT Std 65 Medium"/>
            </a:rPr>
            <a:t>(c)</a:t>
          </a:r>
          <a:r>
            <a:rPr lang="en-US" cap="none" sz="1000" b="0" i="0" u="none" baseline="0">
              <a:solidFill>
                <a:srgbClr val="000000"/>
              </a:solidFill>
              <a:latin typeface="Avenir LT Std 65 Medium"/>
              <a:ea typeface="Avenir LT Std 65 Medium"/>
              <a:cs typeface="Avenir LT Std 65 Medium"/>
            </a:rPr>
            <a:t> E</a:t>
          </a:r>
          <a:r>
            <a:rPr lang="en-US" cap="none" sz="1000" b="0" i="0" u="none" baseline="0">
              <a:solidFill>
                <a:srgbClr val="000000"/>
              </a:solidFill>
              <a:latin typeface="Avenir LT Std 65 Medium"/>
              <a:ea typeface="Avenir LT Std 65 Medium"/>
              <a:cs typeface="Avenir LT Std 65 Medium"/>
            </a:rPr>
            <a:t>ffective 2006, Canada introduced an enhanced gross-up and dividend tax credit regime for dividends distributed by large corporations, which are subject to a higher statutory rate than small businesses.  As a result, Canada is operating a dual rate gross up and dividend tax credit system that is providing full imputation at the federal level (a number of provinces responded to the federal initiative by adjusting their own DTC rates). Rates presented are those applicable to large corporation dividends.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(d) </a:t>
          </a:r>
          <a:r>
            <a:rPr lang="en-US" cap="none" sz="1000" b="0" i="0" u="none" baseline="0">
              <a:solidFill>
                <a:srgbClr val="000000"/>
              </a:solidFill>
              <a:latin typeface="Avenir LT Std 65 Medium"/>
              <a:ea typeface="Avenir LT Std 65 Medium"/>
              <a:cs typeface="Avenir LT Std 65 Medium"/>
            </a:rPr>
            <a:t>Of the dividends from non-listed companies, an amount equal to 9% of the annual return calculated on the mathematical value of the shares of the company is tax exempt up to a maximum on EUR 60 000. Of the amount exceeding the 9% exemption, 70% is regarded as taxable earned income, and 30% is tax free. Of the amount of dividends that exceeds EUR 60 000 but not the 9% exemption, 70% is taxed as capital income and 30% is tax free. The highest marginal tax rate is higher for earned income than the 32 % applied for capital income exceeding EUR 50 000. Capital income tax rate is 30 % up to EUR 50 000.</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(e) For companies not paying the CSB (contribution sociale sur les bénéfices), the corporate income tax rates are 1.1 percentage points lower. See Table II.1 for more details. The CIT rate includes a 3 % additional contribution on distributed profits.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Included in the rate in column 6 are the social contributions (particularly CSG and CRDS) of 15.5 % levied on distributed profits (100) and the high income exceptional contributions (4 % for total income over 500 000 € per year). Besides, the top PIT rate is 45 % but there is a 40 % allowance on dividends to temper the double taxation (CIT and PIT). The tax base is further reduced by a part of the social contributions (5.1 % of the gross dividends).
</a:t>
          </a:r>
          <a:r>
            <a:rPr lang="en-US" cap="none" sz="1000" b="0" i="0" u="none" baseline="0">
              <a:solidFill>
                <a:srgbClr val="000000"/>
              </a:solidFill>
              <a:latin typeface="Avenir LT Std 65 Medium"/>
              <a:ea typeface="Avenir LT Std 65 Medium"/>
              <a:cs typeface="Avenir LT Std 65 Medium"/>
            </a:rPr>
            <a:t>(f) In 2013 the CIT rate  is increased from 20% to 26% but the withholding tax rate on distributed profits  is decreased from 25% to 10%. This 10% tax rate exhausts the tax liability of the recipient.    </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(g)</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In 2011 the Personal Income Tax rate was increased from 18% to 20% from 1 January. No change in the tax-free limit.
</a:t>
          </a:r>
          <a:r>
            <a:rPr lang="en-US" cap="none" sz="1000" b="0" i="0" u="none" baseline="0">
              <a:solidFill>
                <a:srgbClr val="000000"/>
              </a:solidFill>
              <a:latin typeface="Avenir LT Std 65 Medium"/>
              <a:ea typeface="Avenir LT Std 65 Medium"/>
              <a:cs typeface="Avenir LT Std 65 Medium"/>
            </a:rPr>
            <a:t>(h)</a:t>
          </a:r>
          <a:r>
            <a:rPr lang="en-US" cap="none" sz="1000" b="0" i="0" u="none" baseline="0">
              <a:solidFill>
                <a:srgbClr val="000000"/>
              </a:solidFill>
              <a:latin typeface="Avenir LT Std 65 Medium"/>
              <a:ea typeface="Avenir LT Std 65 Medium"/>
              <a:cs typeface="Avenir LT Std 65 Medium"/>
            </a:rPr>
            <a:t> F</a:t>
          </a:r>
          <a:r>
            <a:rPr lang="en-US" cap="none" sz="1000" b="0" i="0" u="none" baseline="0">
              <a:solidFill>
                <a:srgbClr val="000000"/>
              </a:solidFill>
              <a:latin typeface="Avenir LT Std 65 Medium"/>
              <a:ea typeface="Avenir LT Std 65 Medium"/>
              <a:cs typeface="Avenir LT Std 65 Medium"/>
            </a:rPr>
            <a:t>igures refer to taxpayers with “non-qualified” shareholdings who opt for a final withholding tax with a rate of 20% instead of having their dividends taxed under the ordinary personal income tax. See the Explanatory Annex for more details. 
</a:t>
          </a:r>
          <a:r>
            <a:rPr lang="en-US" cap="none" sz="1000" b="0" i="0" u="none" baseline="0">
              <a:solidFill>
                <a:srgbClr val="000000"/>
              </a:solidFill>
              <a:latin typeface="Avenir LT Std 65 Medium"/>
              <a:ea typeface="Avenir LT Std 65 Medium"/>
              <a:cs typeface="Avenir LT Std 65 Medium"/>
            </a:rPr>
            <a:t>(i) </a:t>
          </a:r>
          <a:r>
            <a:rPr lang="en-US" cap="none" sz="1000" b="0" i="0" u="none" baseline="0">
              <a:solidFill>
                <a:srgbClr val="000000"/>
              </a:solidFill>
              <a:latin typeface="Avenir LT Std 65 Medium"/>
              <a:ea typeface="Avenir LT Std 65 Medium"/>
              <a:cs typeface="Avenir LT Std 65 Medium"/>
            </a:rPr>
            <a:t>From 1 April 2012:
</a:t>
          </a:r>
          <a:r>
            <a:rPr lang="en-US" cap="none" sz="1000" b="0" i="0" u="none" baseline="0">
              <a:solidFill>
                <a:srgbClr val="000000"/>
              </a:solidFill>
              <a:latin typeface="Avenir LT Std 65 Medium"/>
              <a:ea typeface="Avenir LT Std 65 Medium"/>
              <a:cs typeface="Avenir LT Std 65 Medium"/>
            </a:rPr>
            <a:t>- The 'CIT rate on distributed profit' has been reduced to 37.0</a:t>
          </a:r>
          <a:r>
            <a:rPr lang="en-US" cap="none" sz="1000" b="0" i="0" u="none" baseline="0">
              <a:solidFill>
                <a:srgbClr val="000000"/>
              </a:solidFill>
              <a:latin typeface="Avenir LT Std 65 Medium"/>
              <a:ea typeface="Avenir LT Std 65 Medium"/>
              <a:cs typeface="Avenir LT Std 65 Medium"/>
            </a:rPr>
            <a:t>.</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There are </a:t>
          </a:r>
          <a:r>
            <a:rPr lang="en-US" cap="none" sz="1000" b="0" i="0" u="none" baseline="0">
              <a:solidFill>
                <a:srgbClr val="000000"/>
              </a:solidFill>
              <a:latin typeface="Avenir LT Std 65 Medium"/>
              <a:ea typeface="Avenir LT Std 65 Medium"/>
              <a:cs typeface="Avenir LT Std 65 Medium"/>
            </a:rPr>
            <a:t>three </a:t>
          </a:r>
          <a:r>
            <a:rPr lang="en-US" cap="none" sz="1000" b="0" i="0" u="none" baseline="0">
              <a:solidFill>
                <a:srgbClr val="000000"/>
              </a:solidFill>
              <a:latin typeface="Avenir LT Std 65 Medium"/>
              <a:ea typeface="Avenir LT Std 65 Medium"/>
              <a:cs typeface="Avenir LT Std 65 Medium"/>
            </a:rPr>
            <a:t>methods of taxation on dividends; withholding taxation at a rate of 20% (10% for dividends distributed during the period between April 2003 and December 2013). In this case, taxpayers don't include the dividend income in the tax return; self-assessment taxation at the same rate as a  withholding tax rate. Choosing this method, taxpayers can aggregate dividends and capital losses;  aggregate taxation (10%-50% ). When taxpayers choose this method,</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the Credit for Dividends (to deduct 6.4%-12.8% of dividend income from income tax and local inhabitants tax) is applicable</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(j) </a:t>
          </a:r>
          <a:r>
            <a:rPr lang="en-US" cap="none" sz="1000" b="0" i="0" u="none" baseline="0">
              <a:solidFill>
                <a:srgbClr val="000000"/>
              </a:solidFill>
              <a:latin typeface="Avenir LT Std 65 Medium"/>
              <a:ea typeface="Avenir LT Std 65 Medium"/>
              <a:cs typeface="Avenir LT Std 65 Medium"/>
            </a:rPr>
            <a:t>A rate of 25% is applicable for income from substantial interests. A taxpayer is regarded as having a substantial interest in a company if she/he, either alone or together with his partner, holds, directly or indirectly, at least 5% of the shares of that company. The table does not model the tax burden on distributed dividends when the shareholder does not have a substantial holding in the company. When the shares do not qualify as a substantial interest, a return of 4% is deemed to be received on the value of the underlying 'ordinary' shares and in 2013 (and since 2001), this deemed return is taxed at a rate of 30%.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(k) New Zealand has a non-calendar tax year. The rates shown are those in effect as of 1 April.
</a:t>
          </a:r>
          <a:r>
            <a:rPr lang="en-US" cap="none" sz="1000" b="0" i="0" u="none" baseline="0">
              <a:solidFill>
                <a:srgbClr val="000000"/>
              </a:solidFill>
              <a:latin typeface="Avenir LT Std 65 Medium"/>
              <a:ea typeface="Avenir LT Std 65 Medium"/>
              <a:cs typeface="Avenir LT Std 65 Medium"/>
            </a:rPr>
            <a:t>(l) At the shareholder level dividends equal to (or less than) the risk-free market interest rate times the cost price of the share is exempted. (The Shareholder Model). See the Explanatory Annex for more details. 
</a:t>
          </a:r>
          <a:r>
            <a:rPr lang="en-US" cap="none" sz="1000" b="0" i="0" u="none" baseline="0">
              <a:solidFill>
                <a:srgbClr val="000000"/>
              </a:solidFill>
              <a:latin typeface="Avenir LT Std 65 Medium"/>
              <a:ea typeface="Avenir LT Std 65 Medium"/>
              <a:cs typeface="Avenir LT Std 65 Medium"/>
            </a:rPr>
            <a:t>(m) S</a:t>
          </a:r>
          <a:r>
            <a:rPr lang="en-US" cap="none" sz="1000" b="0" i="0" u="none" baseline="0">
              <a:solidFill>
                <a:srgbClr val="000000"/>
              </a:solidFill>
              <a:latin typeface="Avenir LT Std 65 Medium"/>
              <a:ea typeface="Avenir LT Std 65 Medium"/>
              <a:cs typeface="Avenir LT Std 65 Medium"/>
            </a:rPr>
            <a:t>ince 2011 there is a State surtax. In 2011 this surtax was 2% for taxable profit above 2,000,000 euros, in 2012 it was 3% for taxable profit above 1,500,000 euros and 5% for taxable profit above </a:t>
          </a:r>
          <a:r>
            <a:rPr lang="en-US" cap="none" sz="1000" b="0" i="0" u="none" baseline="0">
              <a:solidFill>
                <a:srgbClr val="000000"/>
              </a:solidFill>
              <a:latin typeface="Avenir LT Std 65 Medium"/>
              <a:ea typeface="Avenir LT Std 65 Medium"/>
              <a:cs typeface="Avenir LT Std 65 Medium"/>
            </a:rPr>
            <a:t>10,000,000 and in 2013 it is 3% for taxable profit above 1,500,000 euros and 5% for taxable profit above 7,500,000; from 2014 onwards as in 2011</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(n) D</a:t>
          </a:r>
          <a:r>
            <a:rPr lang="en-US" cap="none" sz="1000" b="0" i="0" u="none" baseline="0">
              <a:solidFill>
                <a:srgbClr val="000000"/>
              </a:solidFill>
              <a:latin typeface="Avenir LT Std 65 Medium"/>
              <a:ea typeface="Avenir LT Std 65 Medium"/>
              <a:cs typeface="Avenir LT Std 65 Medium"/>
            </a:rPr>
            <a:t>ividends received by individuals are subject to a progressive tax schedule of 21% on the first EUR 6,000, 25% for those ranging up to € 24 000 and 27% over the previous figure. The first EUR 1 500 of dividends are exempted from tax at the shareholder level.</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(o) The corporate income tax rate includes the church tax, while the personal income tax rates excludes it. The data are computed for Zurich (representative town) with a MCL system. In Switzerland, a certain number of cantons have a</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system.</a:t>
          </a:r>
          <a:r>
            <a:rPr lang="en-US" cap="none" sz="1000" b="0" i="0" u="none" baseline="0">
              <a:solidFill>
                <a:srgbClr val="000000"/>
              </a:solidFill>
              <a:latin typeface="Avenir LT Std 65 Medium"/>
              <a:ea typeface="Avenir LT Std 65 Medium"/>
              <a:cs typeface="Avenir LT Std 65 Medium"/>
            </a:rPr>
            <a:t> The federal state changed from CL to MCL as of 1</a:t>
          </a:r>
          <a:r>
            <a:rPr lang="en-US" cap="none" sz="1000" b="0" i="0" u="none" baseline="0">
              <a:solidFill>
                <a:srgbClr val="000000"/>
              </a:solidFill>
              <a:latin typeface="Avenir LT Std 65 Medium"/>
              <a:ea typeface="Avenir LT Std 65 Medium"/>
              <a:cs typeface="Avenir LT Std 65 Medium"/>
            </a:rPr>
            <a:t> January</a:t>
          </a:r>
          <a:r>
            <a:rPr lang="en-US" cap="none" sz="1000" b="0" i="0" u="none" baseline="0">
              <a:solidFill>
                <a:srgbClr val="000000"/>
              </a:solidFill>
              <a:latin typeface="Avenir LT Std 65 Medium"/>
              <a:ea typeface="Avenir LT Std 65 Medium"/>
              <a:cs typeface="Avenir LT Std 65 Medium"/>
            </a:rPr>
            <a:t> 2009.
</a:t>
          </a:r>
          <a:r>
            <a:rPr lang="en-US" cap="none" sz="1000" b="0" i="0" u="none" baseline="0">
              <a:solidFill>
                <a:srgbClr val="000000"/>
              </a:solidFill>
              <a:latin typeface="Avenir LT Std 65 Medium"/>
              <a:ea typeface="Avenir LT Std 65 Medium"/>
              <a:cs typeface="Avenir LT Std 65 Medium"/>
            </a:rPr>
            <a:t>(p) United Kingdom has a non-calendar tax year. The rates shown are those in effect as of 5 April.
</a:t>
          </a:r>
          <a:r>
            <a:rPr lang="en-US" cap="none" sz="1000" b="0" i="0" u="none" baseline="0">
              <a:solidFill>
                <a:srgbClr val="000000"/>
              </a:solidFill>
              <a:latin typeface="Avenir LT Std 65 Medium"/>
              <a:ea typeface="Avenir LT Std 65 Medium"/>
              <a:cs typeface="Avenir LT Std 65 Medium"/>
            </a:rPr>
            <a:t>(q) The PIT rate on (grossed-up) dividend (column 6) is defined as the sum of the maximum federal personal income tax rate on qualified dividends and the net investment income tax rate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2015.
</a:t>
          </a:r>
          <a:r>
            <a:rPr lang="en-US" cap="none" sz="1000" b="0" i="0" u="none" baseline="0">
              <a:solidFill>
                <a:srgbClr val="000000"/>
              </a:solidFill>
              <a:latin typeface="Avenir LT Std 65 Medium"/>
              <a:ea typeface="Avenir LT Std 65 Medium"/>
              <a:cs typeface="Avenir LT Std 65 Medium"/>
            </a:rPr>
            <a:t>https://stats.oecd.org/Index.aspx?DataSetCode=TABLE_II4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133350</xdr:rowOff>
    </xdr:from>
    <xdr:to>
      <xdr:col>26</xdr:col>
      <xdr:colOff>0</xdr:colOff>
      <xdr:row>128</xdr:row>
      <xdr:rowOff>76200</xdr:rowOff>
    </xdr:to>
    <xdr:sp>
      <xdr:nvSpPr>
        <xdr:cNvPr id="1" name="Text Box 1"/>
        <xdr:cNvSpPr txBox="1">
          <a:spLocks noChangeArrowheads="1"/>
        </xdr:cNvSpPr>
      </xdr:nvSpPr>
      <xdr:spPr>
        <a:xfrm>
          <a:off x="0" y="9496425"/>
          <a:ext cx="9134475" cy="13220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a:t>
          </a:r>
          <a:r>
            <a:rPr lang="en-US" cap="none" sz="1000" b="0" i="0" u="none" baseline="0">
              <a:solidFill>
                <a:srgbClr val="000000"/>
              </a:solidFill>
              <a:latin typeface="Avenir LT Std 65 Medium"/>
              <a:ea typeface="Avenir LT Std 65 Medium"/>
              <a:cs typeface="Avenir LT Std 65 Medium"/>
            </a:rPr>
            <a:t>gross-up</a:t>
          </a:r>
          <a:r>
            <a:rPr lang="en-US" cap="none" sz="1000" b="0" i="0" u="none" baseline="0">
              <a:solidFill>
                <a:srgbClr val="000000"/>
              </a:solidFill>
              <a:latin typeface="Avenir LT Std 65 Medium"/>
              <a:ea typeface="Avenir LT Std 65 Medium"/>
              <a:cs typeface="Avenir LT Std 65 Medium"/>
            </a:rPr>
            <a:t>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
</a:t>
          </a:r>
          <a:r>
            <a:rPr lang="en-US" cap="none" sz="1000" b="0" i="0" u="none" baseline="0">
              <a:solidFill>
                <a:srgbClr val="000000"/>
              </a:solidFill>
              <a:latin typeface="Avenir LT Std 65 Medium"/>
              <a:ea typeface="Avenir LT Std 65 Medium"/>
              <a:cs typeface="Avenir LT Std 65 Medium"/>
            </a:rPr>
            <a:t>(b) The 25% (withholding) personal income tax is final, if the shareholder so chooses. The lower the return on equity before tax, the lower the effective tax rate due to the allowance for corporate equity (ACE). E.g. the effective corporate tax rate is only half the nominal (statutory) corporate income tax rate when the return on equity before tax is twice the notional interest rate (2.742% in 2013).
</a:t>
          </a:r>
          <a:r>
            <a:rPr lang="en-US" cap="none" sz="1000" b="0" i="0" u="none" baseline="0">
              <a:solidFill>
                <a:srgbClr val="000000"/>
              </a:solidFill>
              <a:latin typeface="Avenir LT Std 65 Medium"/>
              <a:ea typeface="Avenir LT Std 65 Medium"/>
              <a:cs typeface="Avenir LT Std 65 Medium"/>
            </a:rPr>
            <a:t>(c)</a:t>
          </a:r>
          <a:r>
            <a:rPr lang="en-US" cap="none" sz="1000" b="0" i="0" u="none" baseline="0">
              <a:solidFill>
                <a:srgbClr val="000000"/>
              </a:solidFill>
              <a:latin typeface="Avenir LT Std 65 Medium"/>
              <a:ea typeface="Avenir LT Std 65 Medium"/>
              <a:cs typeface="Avenir LT Std 65 Medium"/>
            </a:rPr>
            <a:t> E</a:t>
          </a:r>
          <a:r>
            <a:rPr lang="en-US" cap="none" sz="1000" b="0" i="0" u="none" baseline="0">
              <a:solidFill>
                <a:srgbClr val="000000"/>
              </a:solidFill>
              <a:latin typeface="Avenir LT Std 65 Medium"/>
              <a:ea typeface="Avenir LT Std 65 Medium"/>
              <a:cs typeface="Avenir LT Std 65 Medium"/>
            </a:rPr>
            <a:t>ffective 2006, Canada introduced an enhanced gross-up and dividend tax credit regime for dividends distributed by large corporations, which are subject to a higher statutory rate than small businesses.  As a result, Canada is operating a dual rate gross up and dividend tax credit system that is providing full imputation at the federal level (a number of provinces responded to the federal initiative by adjusting their own DTC rates). Rates presented are those applicable to large corporation dividends.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(d) </a:t>
          </a:r>
          <a:r>
            <a:rPr lang="en-US" cap="none" sz="1000" b="0" i="0" u="none" baseline="0">
              <a:solidFill>
                <a:srgbClr val="000000"/>
              </a:solidFill>
              <a:latin typeface="Avenir LT Std 65 Medium"/>
              <a:ea typeface="Avenir LT Std 65 Medium"/>
              <a:cs typeface="Avenir LT Std 65 Medium"/>
            </a:rPr>
            <a:t>Of the dividends from non-listed companies, an amount equal to 9% of the annual return calculated on the mathematical value of the shares of the company is tax exempt up to a maximum on EUR 60 000. Of the amount exceeding the 9% exemption, 70% is regarded as taxable earned income, and 30% is tax free. Of the amount of dividends that exceeds EUR 60 000 but not the 9% exemption, 70% is taxed as capital income and 30% is tax free. The highest marginal tax rate is higher for earned income than the 32 % applied for capital income exceeding EUR 50 000. Capital income tax rate is 30 % up to EUR 50 000.</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(e) For companies not paying the CSB (contribution sociale sur les bénéfices), the corporate income tax rates are 1.1 percentage points lower. See Table II.1 for more details. The CIT rate includes a 3 % additional contribution on distributed profits.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Included in the rate in column 6 are the social contributions (particularly CSG and CRDS) of 15.5 % levied on distributed profits (100) and the high income exceptional contributions (4 % for total income over 500 000 € per year). Besides, the top PIT rate is 45 % but there is a 40 % allowance on dividends to temper the double taxation (CIT and PIT). The tax base is further reduced by a part of the social contributions (5.1 % of the gross dividends).
</a:t>
          </a:r>
          <a:r>
            <a:rPr lang="en-US" cap="none" sz="1000" b="0" i="0" u="none" baseline="0">
              <a:solidFill>
                <a:srgbClr val="000000"/>
              </a:solidFill>
              <a:latin typeface="Avenir LT Std 65 Medium"/>
              <a:ea typeface="Avenir LT Std 65 Medium"/>
              <a:cs typeface="Avenir LT Std 65 Medium"/>
            </a:rPr>
            <a:t>(f) In 2013 the CIT rate  is increased from 20% to 26% but the withholding tax rate on distributed profits  is decreased from 25% to 10%. This 10% tax rate exhausts the tax liability of the recipient.    </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(g)</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In 2011 the Personal Income Tax rate was increased from 18% to 20% from 1 January. No change in the tax-free limit.
</a:t>
          </a:r>
          <a:r>
            <a:rPr lang="en-US" cap="none" sz="1000" b="0" i="0" u="none" baseline="0">
              <a:solidFill>
                <a:srgbClr val="000000"/>
              </a:solidFill>
              <a:latin typeface="Avenir LT Std 65 Medium"/>
              <a:ea typeface="Avenir LT Std 65 Medium"/>
              <a:cs typeface="Avenir LT Std 65 Medium"/>
            </a:rPr>
            <a:t>(h)</a:t>
          </a:r>
          <a:r>
            <a:rPr lang="en-US" cap="none" sz="1000" b="0" i="0" u="none" baseline="0">
              <a:solidFill>
                <a:srgbClr val="000000"/>
              </a:solidFill>
              <a:latin typeface="Avenir LT Std 65 Medium"/>
              <a:ea typeface="Avenir LT Std 65 Medium"/>
              <a:cs typeface="Avenir LT Std 65 Medium"/>
            </a:rPr>
            <a:t> F</a:t>
          </a:r>
          <a:r>
            <a:rPr lang="en-US" cap="none" sz="1000" b="0" i="0" u="none" baseline="0">
              <a:solidFill>
                <a:srgbClr val="000000"/>
              </a:solidFill>
              <a:latin typeface="Avenir LT Std 65 Medium"/>
              <a:ea typeface="Avenir LT Std 65 Medium"/>
              <a:cs typeface="Avenir LT Std 65 Medium"/>
            </a:rPr>
            <a:t>igures refer to taxpayers with “non-qualified” shareholdings who opt for a final withholding tax with a rate of 20% instead of having their dividends taxed under the ordinary personal income tax. See the Explanatory Annex for more details. 
</a:t>
          </a:r>
          <a:r>
            <a:rPr lang="en-US" cap="none" sz="1000" b="0" i="0" u="none" baseline="0">
              <a:solidFill>
                <a:srgbClr val="000000"/>
              </a:solidFill>
              <a:latin typeface="Avenir LT Std 65 Medium"/>
              <a:ea typeface="Avenir LT Std 65 Medium"/>
              <a:cs typeface="Avenir LT Std 65 Medium"/>
            </a:rPr>
            <a:t>(i) </a:t>
          </a:r>
          <a:r>
            <a:rPr lang="en-US" cap="none" sz="1000" b="0" i="0" u="none" baseline="0">
              <a:solidFill>
                <a:srgbClr val="000000"/>
              </a:solidFill>
              <a:latin typeface="Avenir LT Std 65 Medium"/>
              <a:ea typeface="Avenir LT Std 65 Medium"/>
              <a:cs typeface="Avenir LT Std 65 Medium"/>
            </a:rPr>
            <a:t>From 1 April 2012:
</a:t>
          </a:r>
          <a:r>
            <a:rPr lang="en-US" cap="none" sz="1000" b="0" i="0" u="none" baseline="0">
              <a:solidFill>
                <a:srgbClr val="000000"/>
              </a:solidFill>
              <a:latin typeface="Avenir LT Std 65 Medium"/>
              <a:ea typeface="Avenir LT Std 65 Medium"/>
              <a:cs typeface="Avenir LT Std 65 Medium"/>
            </a:rPr>
            <a:t>- The 'CIT rate on distributed profit' has been reduced to 37.0</a:t>
          </a:r>
          <a:r>
            <a:rPr lang="en-US" cap="none" sz="1000" b="0" i="0" u="none" baseline="0">
              <a:solidFill>
                <a:srgbClr val="000000"/>
              </a:solidFill>
              <a:latin typeface="Avenir LT Std 65 Medium"/>
              <a:ea typeface="Avenir LT Std 65 Medium"/>
              <a:cs typeface="Avenir LT Std 65 Medium"/>
            </a:rPr>
            <a:t>.</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There are </a:t>
          </a:r>
          <a:r>
            <a:rPr lang="en-US" cap="none" sz="1000" b="0" i="0" u="none" baseline="0">
              <a:solidFill>
                <a:srgbClr val="000000"/>
              </a:solidFill>
              <a:latin typeface="Avenir LT Std 65 Medium"/>
              <a:ea typeface="Avenir LT Std 65 Medium"/>
              <a:cs typeface="Avenir LT Std 65 Medium"/>
            </a:rPr>
            <a:t>three </a:t>
          </a:r>
          <a:r>
            <a:rPr lang="en-US" cap="none" sz="1000" b="0" i="0" u="none" baseline="0">
              <a:solidFill>
                <a:srgbClr val="000000"/>
              </a:solidFill>
              <a:latin typeface="Avenir LT Std 65 Medium"/>
              <a:ea typeface="Avenir LT Std 65 Medium"/>
              <a:cs typeface="Avenir LT Std 65 Medium"/>
            </a:rPr>
            <a:t>methods of taxation on dividends; withholding taxation at a rate of 20% (10% for dividends distributed during the period between April 2003 and December 2013). In this case, taxpayers don't include the dividend income in the tax return; self-assessment taxation at the same rate as a  withholding tax rate. Choosing this method, taxpayers can aggregate dividends and capital losses;  aggregate taxation (10%-50% ). When taxpayers choose this method,</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the Credit for Dividends (to deduct 6.4%-12.8% of dividend income from income tax and local inhabitants tax) is applicable</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(j) </a:t>
          </a:r>
          <a:r>
            <a:rPr lang="en-US" cap="none" sz="1000" b="0" i="0" u="none" baseline="0">
              <a:solidFill>
                <a:srgbClr val="000000"/>
              </a:solidFill>
              <a:latin typeface="Avenir LT Std 65 Medium"/>
              <a:ea typeface="Avenir LT Std 65 Medium"/>
              <a:cs typeface="Avenir LT Std 65 Medium"/>
            </a:rPr>
            <a:t>A rate of 25% is applicable for income from substantial interests. A taxpayer is regarded as having a substantial interest in a company if she/he, either alone or together with his partner, holds, directly or indirectly, at least 5% of the shares of that company. The table does not model the tax burden on distributed dividends when the shareholder does not have a substantial holding in the company. When the shares do not qualify as a substantial interest, a return of 4% is deemed to be received on the value of the underlying 'ordinary' shares and in 2013 (and since 2001), this deemed return is taxed at a rate of 30%.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(k) New Zealand has a non-calendar tax year. The rates shown are those in effect as of 1 April.
</a:t>
          </a:r>
          <a:r>
            <a:rPr lang="en-US" cap="none" sz="1000" b="0" i="0" u="none" baseline="0">
              <a:solidFill>
                <a:srgbClr val="000000"/>
              </a:solidFill>
              <a:latin typeface="Avenir LT Std 65 Medium"/>
              <a:ea typeface="Avenir LT Std 65 Medium"/>
              <a:cs typeface="Avenir LT Std 65 Medium"/>
            </a:rPr>
            <a:t>(l) At the shareholder level dividends equal to (or less than) the risk-free market interest rate times the cost price of the share is exempted. (The Shareholder Model). See the Explanatory Annex for more details. 
</a:t>
          </a:r>
          <a:r>
            <a:rPr lang="en-US" cap="none" sz="1000" b="0" i="0" u="none" baseline="0">
              <a:solidFill>
                <a:srgbClr val="000000"/>
              </a:solidFill>
              <a:latin typeface="Avenir LT Std 65 Medium"/>
              <a:ea typeface="Avenir LT Std 65 Medium"/>
              <a:cs typeface="Avenir LT Std 65 Medium"/>
            </a:rPr>
            <a:t>(m) S</a:t>
          </a:r>
          <a:r>
            <a:rPr lang="en-US" cap="none" sz="1000" b="0" i="0" u="none" baseline="0">
              <a:solidFill>
                <a:srgbClr val="000000"/>
              </a:solidFill>
              <a:latin typeface="Avenir LT Std 65 Medium"/>
              <a:ea typeface="Avenir LT Std 65 Medium"/>
              <a:cs typeface="Avenir LT Std 65 Medium"/>
            </a:rPr>
            <a:t>ince 2011 there is a State surtax. In 2011 this surtax was 2% for taxable profit above 2,000,000 euros, in 2012 it was 3% for taxable profit above 1,500,000 euros and 5% for taxable profit above </a:t>
          </a:r>
          <a:r>
            <a:rPr lang="en-US" cap="none" sz="1000" b="0" i="0" u="none" baseline="0">
              <a:solidFill>
                <a:srgbClr val="000000"/>
              </a:solidFill>
              <a:latin typeface="Avenir LT Std 65 Medium"/>
              <a:ea typeface="Avenir LT Std 65 Medium"/>
              <a:cs typeface="Avenir LT Std 65 Medium"/>
            </a:rPr>
            <a:t>10,000,000 and in 2013 it is 3% for taxable profit above 1,500,000 euros and 5% for taxable profit above 7,500,000; from 2014 onwards as in 2011</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(n) D</a:t>
          </a:r>
          <a:r>
            <a:rPr lang="en-US" cap="none" sz="1000" b="0" i="0" u="none" baseline="0">
              <a:solidFill>
                <a:srgbClr val="000000"/>
              </a:solidFill>
              <a:latin typeface="Avenir LT Std 65 Medium"/>
              <a:ea typeface="Avenir LT Std 65 Medium"/>
              <a:cs typeface="Avenir LT Std 65 Medium"/>
            </a:rPr>
            <a:t>ividends received by individuals are subject to a progressive tax schedule of 21% on the first EUR 6,000, 25% for those ranging up to € 24 000 and 27% over the previous figure. The first EUR 1 500 of dividends are exempted from tax at the shareholder level.</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(o) The corporate income tax rate includes the church tax, while the personal income tax rates excludes it. The data are computed for Zurich (representative town) with a MCL system. In Switzerland, a certain number of cantons have a</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system.</a:t>
          </a:r>
          <a:r>
            <a:rPr lang="en-US" cap="none" sz="1000" b="0" i="0" u="none" baseline="0">
              <a:solidFill>
                <a:srgbClr val="000000"/>
              </a:solidFill>
              <a:latin typeface="Avenir LT Std 65 Medium"/>
              <a:ea typeface="Avenir LT Std 65 Medium"/>
              <a:cs typeface="Avenir LT Std 65 Medium"/>
            </a:rPr>
            <a:t> The federal state changed from CL to MCL as of 1</a:t>
          </a:r>
          <a:r>
            <a:rPr lang="en-US" cap="none" sz="1000" b="0" i="0" u="none" baseline="0">
              <a:solidFill>
                <a:srgbClr val="000000"/>
              </a:solidFill>
              <a:latin typeface="Avenir LT Std 65 Medium"/>
              <a:ea typeface="Avenir LT Std 65 Medium"/>
              <a:cs typeface="Avenir LT Std 65 Medium"/>
            </a:rPr>
            <a:t> January</a:t>
          </a:r>
          <a:r>
            <a:rPr lang="en-US" cap="none" sz="1000" b="0" i="0" u="none" baseline="0">
              <a:solidFill>
                <a:srgbClr val="000000"/>
              </a:solidFill>
              <a:latin typeface="Avenir LT Std 65 Medium"/>
              <a:ea typeface="Avenir LT Std 65 Medium"/>
              <a:cs typeface="Avenir LT Std 65 Medium"/>
            </a:rPr>
            <a:t> 2009.
</a:t>
          </a:r>
          <a:r>
            <a:rPr lang="en-US" cap="none" sz="1000" b="0" i="0" u="none" baseline="0">
              <a:solidFill>
                <a:srgbClr val="000000"/>
              </a:solidFill>
              <a:latin typeface="Avenir LT Std 65 Medium"/>
              <a:ea typeface="Avenir LT Std 65 Medium"/>
              <a:cs typeface="Avenir LT Std 65 Medium"/>
            </a:rPr>
            <a:t>(p) United Kingdom has a non-calendar tax year. The rates shown are those in effect as of 5 April.
</a:t>
          </a:r>
          <a:r>
            <a:rPr lang="en-US" cap="none" sz="1000" b="0" i="0" u="none" baseline="0">
              <a:solidFill>
                <a:srgbClr val="000000"/>
              </a:solidFill>
              <a:latin typeface="Avenir LT Std 65 Medium"/>
              <a:ea typeface="Avenir LT Std 65 Medium"/>
              <a:cs typeface="Avenir LT Std 65 Medium"/>
            </a:rPr>
            <a:t>(q) The PIT rate on (grossed-up) dividend (column 6) is defined as the sum of the maximum federal personal income tax rate on qualified dividends and the net investment income tax rate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2014.
</a:t>
          </a:r>
          <a:r>
            <a:rPr lang="en-US" cap="none" sz="1000" b="0" i="0" u="none" baseline="0">
              <a:solidFill>
                <a:srgbClr val="000000"/>
              </a:solidFill>
              <a:latin typeface="Avenir LT Std 65 Medium"/>
              <a:ea typeface="Avenir LT Std 65 Medium"/>
              <a:cs typeface="Avenir LT Std 65 Medium"/>
            </a:rPr>
            <a:t>https://stats.oecd.org/Index.aspx?DataSetCode=TABLE_II4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133350</xdr:rowOff>
    </xdr:from>
    <xdr:to>
      <xdr:col>26</xdr:col>
      <xdr:colOff>0</xdr:colOff>
      <xdr:row>128</xdr:row>
      <xdr:rowOff>76200</xdr:rowOff>
    </xdr:to>
    <xdr:sp>
      <xdr:nvSpPr>
        <xdr:cNvPr id="1" name="Text Box 1"/>
        <xdr:cNvSpPr txBox="1">
          <a:spLocks noChangeArrowheads="1"/>
        </xdr:cNvSpPr>
      </xdr:nvSpPr>
      <xdr:spPr>
        <a:xfrm>
          <a:off x="0" y="7829550"/>
          <a:ext cx="9134475" cy="13220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a:t>
          </a:r>
          <a:r>
            <a:rPr lang="en-US" cap="none" sz="1000" b="0" i="0" u="none" baseline="0">
              <a:solidFill>
                <a:srgbClr val="000000"/>
              </a:solidFill>
              <a:latin typeface="Avenir LT Std 65 Medium"/>
              <a:ea typeface="Avenir LT Std 65 Medium"/>
              <a:cs typeface="Avenir LT Std 65 Medium"/>
            </a:rPr>
            <a:t>gross-up</a:t>
          </a:r>
          <a:r>
            <a:rPr lang="en-US" cap="none" sz="1000" b="0" i="0" u="none" baseline="0">
              <a:solidFill>
                <a:srgbClr val="000000"/>
              </a:solidFill>
              <a:latin typeface="Avenir LT Std 65 Medium"/>
              <a:ea typeface="Avenir LT Std 65 Medium"/>
              <a:cs typeface="Avenir LT Std 65 Medium"/>
            </a:rPr>
            <a:t>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
</a:t>
          </a:r>
          <a:r>
            <a:rPr lang="en-US" cap="none" sz="1000" b="0" i="0" u="none" baseline="0">
              <a:solidFill>
                <a:srgbClr val="000000"/>
              </a:solidFill>
              <a:latin typeface="Avenir LT Std 65 Medium"/>
              <a:ea typeface="Avenir LT Std 65 Medium"/>
              <a:cs typeface="Avenir LT Std 65 Medium"/>
            </a:rPr>
            <a:t>(b) The 25% (withholding) personal income tax is final, if the shareholder so chooses. The lower the return on equity before tax, the lower the effective tax rate due to the allowance for corporate equity (ACE). E.g. the effective corporate tax rate is only half the nominal (statutory) corporate income tax rate when the return on equity before tax is twice the notional interest rate (2.742% in 2013).
</a:t>
          </a:r>
          <a:r>
            <a:rPr lang="en-US" cap="none" sz="1000" b="0" i="0" u="none" baseline="0">
              <a:solidFill>
                <a:srgbClr val="000000"/>
              </a:solidFill>
              <a:latin typeface="Avenir LT Std 65 Medium"/>
              <a:ea typeface="Avenir LT Std 65 Medium"/>
              <a:cs typeface="Avenir LT Std 65 Medium"/>
            </a:rPr>
            <a:t>(c)</a:t>
          </a:r>
          <a:r>
            <a:rPr lang="en-US" cap="none" sz="1000" b="0" i="0" u="none" baseline="0">
              <a:solidFill>
                <a:srgbClr val="000000"/>
              </a:solidFill>
              <a:latin typeface="Avenir LT Std 65 Medium"/>
              <a:ea typeface="Avenir LT Std 65 Medium"/>
              <a:cs typeface="Avenir LT Std 65 Medium"/>
            </a:rPr>
            <a:t> E</a:t>
          </a:r>
          <a:r>
            <a:rPr lang="en-US" cap="none" sz="1000" b="0" i="0" u="none" baseline="0">
              <a:solidFill>
                <a:srgbClr val="000000"/>
              </a:solidFill>
              <a:latin typeface="Avenir LT Std 65 Medium"/>
              <a:ea typeface="Avenir LT Std 65 Medium"/>
              <a:cs typeface="Avenir LT Std 65 Medium"/>
            </a:rPr>
            <a:t>ffective 2006, Canada introduced an enhanced gross-up and dividend tax credit regime for dividends distributed by large corporations, which are subject to a higher statutory rate than small businesses.  As a result, Canada is operating a dual rate gross up and dividend tax credit system that is providing full imputation at the federal level (a number of provinces responded to the federal initiative by adjusting their own DTC rates). Rates presented are those applicable to large corporation dividends.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(d) </a:t>
          </a:r>
          <a:r>
            <a:rPr lang="en-US" cap="none" sz="1000" b="0" i="0" u="none" baseline="0">
              <a:solidFill>
                <a:srgbClr val="000000"/>
              </a:solidFill>
              <a:latin typeface="Avenir LT Std 65 Medium"/>
              <a:ea typeface="Avenir LT Std 65 Medium"/>
              <a:cs typeface="Avenir LT Std 65 Medium"/>
            </a:rPr>
            <a:t>Of the dividends from non-listed companies, an amount equal to 9% of the annual return calculated on the mathematical value of the shares of the company is tax exempt up to a maximum on EUR 60 000. Of the amount exceeding the 9% exemption, 70% is regarded as taxable earned income, and 30% is tax free. Of the amount of dividends that exceeds EUR 60 000 but not the 9% exemption, 70% is taxed as capital income and 30% is tax free. The highest marginal tax rate is higher for earned income than the 32 % applied for capital income exceeding EUR 50 000. Capital income tax rate is 30 % up to EUR 50 000.</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(e) For companies not paying the CSB (contribution sociale sur les bénéfices), the corporate income tax rates are 1.1 percentage points lower. See Table II.1 for more details. The CIT rate includes a 3 % additional contribution on distributed profits.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Included in the rate in column 6 are the social contributions (particularly CSG and CRDS) of 15.5 % levied on distributed profits (100) and the high income exceptional contributions (4 % for total income over 500 000 € per year). Besides, the top PIT rate is 45 % but there is a 40 % allowance on dividends to temper the double taxation (CIT and PIT). The tax base is further reduced by a part of the social contributions (5.1 % of the gross dividends).
</a:t>
          </a:r>
          <a:r>
            <a:rPr lang="en-US" cap="none" sz="1000" b="0" i="0" u="none" baseline="0">
              <a:solidFill>
                <a:srgbClr val="000000"/>
              </a:solidFill>
              <a:latin typeface="Avenir LT Std 65 Medium"/>
              <a:ea typeface="Avenir LT Std 65 Medium"/>
              <a:cs typeface="Avenir LT Std 65 Medium"/>
            </a:rPr>
            <a:t>(f) In 2013 the CIT rate  is increased from 20% to 26% but the withholding tax rate on distributed profits  is decreased from 25% to 10%. This 10% tax rate exhausts the tax liability of the recipient.    </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(g)</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In 2011 the Personal Income Tax rate was increased from 18% to 20% from 1 January. No change in the tax-free limit.
</a:t>
          </a:r>
          <a:r>
            <a:rPr lang="en-US" cap="none" sz="1000" b="0" i="0" u="none" baseline="0">
              <a:solidFill>
                <a:srgbClr val="000000"/>
              </a:solidFill>
              <a:latin typeface="Avenir LT Std 65 Medium"/>
              <a:ea typeface="Avenir LT Std 65 Medium"/>
              <a:cs typeface="Avenir LT Std 65 Medium"/>
            </a:rPr>
            <a:t>(h)</a:t>
          </a:r>
          <a:r>
            <a:rPr lang="en-US" cap="none" sz="1000" b="0" i="0" u="none" baseline="0">
              <a:solidFill>
                <a:srgbClr val="000000"/>
              </a:solidFill>
              <a:latin typeface="Avenir LT Std 65 Medium"/>
              <a:ea typeface="Avenir LT Std 65 Medium"/>
              <a:cs typeface="Avenir LT Std 65 Medium"/>
            </a:rPr>
            <a:t> F</a:t>
          </a:r>
          <a:r>
            <a:rPr lang="en-US" cap="none" sz="1000" b="0" i="0" u="none" baseline="0">
              <a:solidFill>
                <a:srgbClr val="000000"/>
              </a:solidFill>
              <a:latin typeface="Avenir LT Std 65 Medium"/>
              <a:ea typeface="Avenir LT Std 65 Medium"/>
              <a:cs typeface="Avenir LT Std 65 Medium"/>
            </a:rPr>
            <a:t>igures refer to taxpayers with “non-qualified” shareholdings who opt for a final withholding tax with a rate of 20% instead of having their dividends taxed under the ordinary personal income tax. See the Explanatory Annex for more details. 
</a:t>
          </a:r>
          <a:r>
            <a:rPr lang="en-US" cap="none" sz="1000" b="0" i="0" u="none" baseline="0">
              <a:solidFill>
                <a:srgbClr val="000000"/>
              </a:solidFill>
              <a:latin typeface="Avenir LT Std 65 Medium"/>
              <a:ea typeface="Avenir LT Std 65 Medium"/>
              <a:cs typeface="Avenir LT Std 65 Medium"/>
            </a:rPr>
            <a:t>(i) </a:t>
          </a:r>
          <a:r>
            <a:rPr lang="en-US" cap="none" sz="1000" b="0" i="0" u="none" baseline="0">
              <a:solidFill>
                <a:srgbClr val="000000"/>
              </a:solidFill>
              <a:latin typeface="Avenir LT Std 65 Medium"/>
              <a:ea typeface="Avenir LT Std 65 Medium"/>
              <a:cs typeface="Avenir LT Std 65 Medium"/>
            </a:rPr>
            <a:t>From 1 April 2012:
</a:t>
          </a:r>
          <a:r>
            <a:rPr lang="en-US" cap="none" sz="1000" b="0" i="0" u="none" baseline="0">
              <a:solidFill>
                <a:srgbClr val="000000"/>
              </a:solidFill>
              <a:latin typeface="Avenir LT Std 65 Medium"/>
              <a:ea typeface="Avenir LT Std 65 Medium"/>
              <a:cs typeface="Avenir LT Std 65 Medium"/>
            </a:rPr>
            <a:t>- The 'CIT rate on distributed profit' has been reduced to 37.0</a:t>
          </a:r>
          <a:r>
            <a:rPr lang="en-US" cap="none" sz="1000" b="0" i="0" u="none" baseline="0">
              <a:solidFill>
                <a:srgbClr val="000000"/>
              </a:solidFill>
              <a:latin typeface="Avenir LT Std 65 Medium"/>
              <a:ea typeface="Avenir LT Std 65 Medium"/>
              <a:cs typeface="Avenir LT Std 65 Medium"/>
            </a:rPr>
            <a:t>.</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There are </a:t>
          </a:r>
          <a:r>
            <a:rPr lang="en-US" cap="none" sz="1000" b="0" i="0" u="none" baseline="0">
              <a:solidFill>
                <a:srgbClr val="000000"/>
              </a:solidFill>
              <a:latin typeface="Avenir LT Std 65 Medium"/>
              <a:ea typeface="Avenir LT Std 65 Medium"/>
              <a:cs typeface="Avenir LT Std 65 Medium"/>
            </a:rPr>
            <a:t>three </a:t>
          </a:r>
          <a:r>
            <a:rPr lang="en-US" cap="none" sz="1000" b="0" i="0" u="none" baseline="0">
              <a:solidFill>
                <a:srgbClr val="000000"/>
              </a:solidFill>
              <a:latin typeface="Avenir LT Std 65 Medium"/>
              <a:ea typeface="Avenir LT Std 65 Medium"/>
              <a:cs typeface="Avenir LT Std 65 Medium"/>
            </a:rPr>
            <a:t>methods of taxation on dividends; withholding taxation at a rate of 20% (10% for dividends distributed during the period between April 2003 and December 2013). In this case, taxpayers don't include the dividend income in the tax return; self-assessment taxation at the same rate as a  withholding tax rate. Choosing this method, taxpayers can aggregate dividends and capital losses;  aggregate taxation (10%-50% ). When taxpayers choose this method,</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the Credit for Dividends (to deduct 6.4%-12.8% of dividend income from income tax and local inhabitants tax) is applicable</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(j) </a:t>
          </a:r>
          <a:r>
            <a:rPr lang="en-US" cap="none" sz="1000" b="0" i="0" u="none" baseline="0">
              <a:solidFill>
                <a:srgbClr val="000000"/>
              </a:solidFill>
              <a:latin typeface="Avenir LT Std 65 Medium"/>
              <a:ea typeface="Avenir LT Std 65 Medium"/>
              <a:cs typeface="Avenir LT Std 65 Medium"/>
            </a:rPr>
            <a:t>A rate of 25% is applicable for income from substantial interests. A taxpayer is regarded as having a substantial interest in a company if she/he, either alone or together with his partner, holds, directly or indirectly, at least 5% of the shares of that company. The table does not model the tax burden on distributed dividends when the shareholder does not have a substantial holding in the company. When the shares do not qualify as a substantial interest, a return of 4% is deemed to be received on the value of the underlying 'ordinary' shares and in 2013 (and since 2001), this deemed return is taxed at a rate of 30%.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(k) New Zealand has a non-calendar tax year. The rates shown are those in effect as of 1 April.
</a:t>
          </a:r>
          <a:r>
            <a:rPr lang="en-US" cap="none" sz="1000" b="0" i="0" u="none" baseline="0">
              <a:solidFill>
                <a:srgbClr val="000000"/>
              </a:solidFill>
              <a:latin typeface="Avenir LT Std 65 Medium"/>
              <a:ea typeface="Avenir LT Std 65 Medium"/>
              <a:cs typeface="Avenir LT Std 65 Medium"/>
            </a:rPr>
            <a:t>(l) At the shareholder level dividends equal to (or less than) the risk-free market interest rate times the cost price of the share is exempted. (The Shareholder Model). See the Explanatory Annex for more details. 
</a:t>
          </a:r>
          <a:r>
            <a:rPr lang="en-US" cap="none" sz="1000" b="0" i="0" u="none" baseline="0">
              <a:solidFill>
                <a:srgbClr val="000000"/>
              </a:solidFill>
              <a:latin typeface="Avenir LT Std 65 Medium"/>
              <a:ea typeface="Avenir LT Std 65 Medium"/>
              <a:cs typeface="Avenir LT Std 65 Medium"/>
            </a:rPr>
            <a:t>(m) S</a:t>
          </a:r>
          <a:r>
            <a:rPr lang="en-US" cap="none" sz="1000" b="0" i="0" u="none" baseline="0">
              <a:solidFill>
                <a:srgbClr val="000000"/>
              </a:solidFill>
              <a:latin typeface="Avenir LT Std 65 Medium"/>
              <a:ea typeface="Avenir LT Std 65 Medium"/>
              <a:cs typeface="Avenir LT Std 65 Medium"/>
            </a:rPr>
            <a:t>ince 2011 there is a State surtax. In 2011 this surtax was 2% for taxable profit above 2,000,000 euros, in 2012 it was 3% for taxable profit above 1,500,000 euros and 5% for taxable profit above </a:t>
          </a:r>
          <a:r>
            <a:rPr lang="en-US" cap="none" sz="1000" b="0" i="0" u="none" baseline="0">
              <a:solidFill>
                <a:srgbClr val="000000"/>
              </a:solidFill>
              <a:latin typeface="Avenir LT Std 65 Medium"/>
              <a:ea typeface="Avenir LT Std 65 Medium"/>
              <a:cs typeface="Avenir LT Std 65 Medium"/>
            </a:rPr>
            <a:t>10,000,000 and in 2013 it is 3% for taxable profit above 1,500,000 euros and 5% for taxable profit above 7,500,000; from 2014 onwards as in 2011</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(n) D</a:t>
          </a:r>
          <a:r>
            <a:rPr lang="en-US" cap="none" sz="1000" b="0" i="0" u="none" baseline="0">
              <a:solidFill>
                <a:srgbClr val="000000"/>
              </a:solidFill>
              <a:latin typeface="Avenir LT Std 65 Medium"/>
              <a:ea typeface="Avenir LT Std 65 Medium"/>
              <a:cs typeface="Avenir LT Std 65 Medium"/>
            </a:rPr>
            <a:t>ividends received by individuals are subject to a progressive tax schedule of 21% on the first EUR 6,000, 25% for those ranging up to € 24 000 and 27% over the previous figure. The first EUR 1 500 of dividends are exempted from tax at the shareholder level.</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(o) The corporate income tax rate includes the church tax, while the personal income tax rates excludes it. The data are computed for Zurich (representative town) with a MCL system. In Switzerland, a certain number of cantons have a</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system.</a:t>
          </a:r>
          <a:r>
            <a:rPr lang="en-US" cap="none" sz="1000" b="0" i="0" u="none" baseline="0">
              <a:solidFill>
                <a:srgbClr val="000000"/>
              </a:solidFill>
              <a:latin typeface="Avenir LT Std 65 Medium"/>
              <a:ea typeface="Avenir LT Std 65 Medium"/>
              <a:cs typeface="Avenir LT Std 65 Medium"/>
            </a:rPr>
            <a:t> The federal state changed from CL to MCL as of 1</a:t>
          </a:r>
          <a:r>
            <a:rPr lang="en-US" cap="none" sz="1000" b="0" i="0" u="none" baseline="0">
              <a:solidFill>
                <a:srgbClr val="000000"/>
              </a:solidFill>
              <a:latin typeface="Avenir LT Std 65 Medium"/>
              <a:ea typeface="Avenir LT Std 65 Medium"/>
              <a:cs typeface="Avenir LT Std 65 Medium"/>
            </a:rPr>
            <a:t> January</a:t>
          </a:r>
          <a:r>
            <a:rPr lang="en-US" cap="none" sz="1000" b="0" i="0" u="none" baseline="0">
              <a:solidFill>
                <a:srgbClr val="000000"/>
              </a:solidFill>
              <a:latin typeface="Avenir LT Std 65 Medium"/>
              <a:ea typeface="Avenir LT Std 65 Medium"/>
              <a:cs typeface="Avenir LT Std 65 Medium"/>
            </a:rPr>
            <a:t> 2009.
</a:t>
          </a:r>
          <a:r>
            <a:rPr lang="en-US" cap="none" sz="1000" b="0" i="0" u="none" baseline="0">
              <a:solidFill>
                <a:srgbClr val="000000"/>
              </a:solidFill>
              <a:latin typeface="Avenir LT Std 65 Medium"/>
              <a:ea typeface="Avenir LT Std 65 Medium"/>
              <a:cs typeface="Avenir LT Std 65 Medium"/>
            </a:rPr>
            <a:t>(p) United Kingdom has a non-calendar tax year. The rates shown are those in effect as of 5 April.
</a:t>
          </a:r>
          <a:r>
            <a:rPr lang="en-US" cap="none" sz="1000" b="0" i="0" u="none" baseline="0">
              <a:solidFill>
                <a:srgbClr val="000000"/>
              </a:solidFill>
              <a:latin typeface="Avenir LT Std 65 Medium"/>
              <a:ea typeface="Avenir LT Std 65 Medium"/>
              <a:cs typeface="Avenir LT Std 65 Medium"/>
            </a:rPr>
            <a:t>(q) The PIT rate on (grossed-up) dividend (column 6) is defined as the sum of the maximum federal personal income tax rate on qualified dividends and the net investment income tax rate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2013.
</a:t>
          </a:r>
          <a:r>
            <a:rPr lang="en-US" cap="none" sz="1000" b="0" i="0" u="none" baseline="0">
              <a:solidFill>
                <a:srgbClr val="000000"/>
              </a:solidFill>
              <a:latin typeface="Avenir LT Std 65 Medium"/>
              <a:ea typeface="Avenir LT Std 65 Medium"/>
              <a:cs typeface="Avenir LT Std 65 Medium"/>
            </a:rPr>
            <a:t>http://www.oecd.org/tax/tax-policy/Table%20II.4_Nov%202013.xlsx</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133350</xdr:rowOff>
    </xdr:from>
    <xdr:to>
      <xdr:col>26</xdr:col>
      <xdr:colOff>0</xdr:colOff>
      <xdr:row>130</xdr:row>
      <xdr:rowOff>66675</xdr:rowOff>
    </xdr:to>
    <xdr:sp>
      <xdr:nvSpPr>
        <xdr:cNvPr id="1" name="Text Box 1"/>
        <xdr:cNvSpPr txBox="1">
          <a:spLocks noChangeArrowheads="1"/>
        </xdr:cNvSpPr>
      </xdr:nvSpPr>
      <xdr:spPr>
        <a:xfrm>
          <a:off x="0" y="7724775"/>
          <a:ext cx="9134475" cy="135636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a:t>
          </a:r>
          <a:r>
            <a:rPr lang="en-US" cap="none" sz="1000" b="0" i="0" u="none" baseline="0">
              <a:solidFill>
                <a:srgbClr val="000000"/>
              </a:solidFill>
              <a:latin typeface="Avenir LT Std 65 Medium"/>
              <a:ea typeface="Avenir LT Std 65 Medium"/>
              <a:cs typeface="Avenir LT Std 65 Medium"/>
            </a:rPr>
            <a:t>gross-up</a:t>
          </a:r>
          <a:r>
            <a:rPr lang="en-US" cap="none" sz="1000" b="0" i="0" u="none" baseline="0">
              <a:solidFill>
                <a:srgbClr val="000000"/>
              </a:solidFill>
              <a:latin typeface="Avenir LT Std 65 Medium"/>
              <a:ea typeface="Avenir LT Std 65 Medium"/>
              <a:cs typeface="Avenir LT Std 65 Medium"/>
            </a:rPr>
            <a:t>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
</a:t>
          </a:r>
          <a:r>
            <a:rPr lang="en-US" cap="none" sz="1000" b="0" i="0" u="none" baseline="0">
              <a:solidFill>
                <a:srgbClr val="000000"/>
              </a:solidFill>
              <a:latin typeface="Avenir LT Std 65 Medium"/>
              <a:ea typeface="Avenir LT Std 65 Medium"/>
              <a:cs typeface="Avenir LT Std 65 Medium"/>
            </a:rPr>
            <a:t>(b) The 25% (withholding) personal income tax is final, if the shareholder so chooses. For shares issued since 1 January 1994 the withholding tax at source is 21% but an extra levy of 4% is then due via the PIT return when the sum of qualifying interest and dividend income exceeds a threshold (EUR 20 020 in 2012); investors can however opt to pay the extra 4% levy at source. The lower the return on equity before tax, the lower the effective tax rate due to the allowance for corporate equity (ACE). E.g. the effective corporate tax rate is only half the nominal (statutory) corporate income tax rate when the return on equity before tax is twice the notional interest rate (3.0% in 2012).
</a:t>
          </a:r>
          <a:r>
            <a:rPr lang="en-US" cap="none" sz="1000" b="0" i="0" u="none" baseline="0">
              <a:solidFill>
                <a:srgbClr val="000000"/>
              </a:solidFill>
              <a:latin typeface="Avenir LT Std 65 Medium"/>
              <a:ea typeface="Avenir LT Std 65 Medium"/>
              <a:cs typeface="Avenir LT Std 65 Medium"/>
            </a:rPr>
            <a:t>(c) E</a:t>
          </a:r>
          <a:r>
            <a:rPr lang="en-US" cap="none" sz="1000" b="0" i="0" u="none" baseline="0">
              <a:solidFill>
                <a:srgbClr val="000000"/>
              </a:solidFill>
              <a:latin typeface="Avenir LT Std 65 Medium"/>
              <a:ea typeface="Avenir LT Std 65 Medium"/>
              <a:cs typeface="Avenir LT Std 65 Medium"/>
            </a:rPr>
            <a:t>ffective 2006, Canada introduced an enhanced gross-up and dividend tax credit regime for dividends distributed by large corporations, which are subject to a higher statutory rate than small businesses.  As a result, Canada is operating a dual rate gross up and dividend tax credit system that is providing full imputation at the federal level (a number of provinces responded to the federal initiative by adjusting their own DTC rates). Rates presented are those applicable to large corporation dividends.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(d) </a:t>
          </a:r>
          <a:r>
            <a:rPr lang="en-US" cap="none" sz="1000" b="0" i="0" u="none" baseline="0">
              <a:solidFill>
                <a:srgbClr val="000000"/>
              </a:solidFill>
              <a:latin typeface="Avenir LT Std 65 Medium"/>
              <a:ea typeface="Avenir LT Std 65 Medium"/>
              <a:cs typeface="Avenir LT Std 65 Medium"/>
            </a:rPr>
            <a:t>Of the dividends from non-listed companies, an amount equal to 9% of the annual return calculated on the mathematical value of the shares of the company is tax exempt up to a maximum on EUR 60 000. Of the amount exceeding the 9% exemption, 70% is regarded as taxable earned income, and 30% is tax free. Of the amount of dividends that exceeds EUR 60 000 but not the 9% exemption, 70% is taxed as capital income and 30% is tax free. The highest marginal tax rate is higher for earned income than the 32 % applied for capital income exceeding EUR 50 000. Capital income tax rate is 30 % up to EUR 50 000.</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(e) For companies not paying the CSB (contribution sociale sur les bénéfices), the corporate income tax rates are 1.1 percentage points lower. See Table II.1 for more details. The CIT rate is as of 01/01/2012. A new 3 % additional contribution on distributed profits has been introduced, for dividends distributed after the 08/17/2012.</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Included in the rate in column 6 are the final withholding rate (21 %), the high income exceptional contribution of (4 % for total income over 500 000 € per year) and the social contributions (13.5 %, increased to 15,5 % in July 2012). The tax payer is supposed to be rational : the final withholding rate is optional but is lower than the taxation resulting from the progressive tax schedule when the tax payer is at the top PIT rate.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(f) In 2011 the Personal Income Tax rate was increased from 18% to 20% from 1 January. No change in the tax-free limit.
</a:t>
          </a:r>
          <a:r>
            <a:rPr lang="en-US" cap="none" sz="1000" b="0" i="0" u="none" baseline="0">
              <a:solidFill>
                <a:srgbClr val="000000"/>
              </a:solidFill>
              <a:latin typeface="Avenir LT Std 65 Medium"/>
              <a:ea typeface="Avenir LT Std 65 Medium"/>
              <a:cs typeface="Avenir LT Std 65 Medium"/>
            </a:rPr>
            <a:t>(g) Figures refer to taxpayers with “non-qualified” shareholdings who opt for a final withholding tax with a rate of 20% instead of having their dividends taxed under the ordinary personal income tax. See the Explanatory Annex for more details. 
</a:t>
          </a:r>
          <a:r>
            <a:rPr lang="en-US" cap="none" sz="1000" b="0" i="0" u="none" baseline="0">
              <a:solidFill>
                <a:srgbClr val="000000"/>
              </a:solidFill>
              <a:latin typeface="Avenir LT Std 65 Medium"/>
              <a:ea typeface="Avenir LT Std 65 Medium"/>
              <a:cs typeface="Avenir LT Std 65 Medium"/>
            </a:rPr>
            <a:t>(h) From 1 April 2012:
</a:t>
          </a:r>
          <a:r>
            <a:rPr lang="en-US" cap="none" sz="1000" b="0" i="0" u="none" baseline="0">
              <a:solidFill>
                <a:srgbClr val="000000"/>
              </a:solidFill>
              <a:latin typeface="Avenir LT Std 65 Medium"/>
              <a:ea typeface="Avenir LT Std 65 Medium"/>
              <a:cs typeface="Avenir LT Std 65 Medium"/>
            </a:rPr>
            <a:t>- The 'CIT rate on distributed profit' has been reduced to 37.0
</a:t>
          </a:r>
          <a:r>
            <a:rPr lang="en-US" cap="none" sz="1000" b="0" i="0" u="none" baseline="0">
              <a:solidFill>
                <a:srgbClr val="000000"/>
              </a:solidFill>
              <a:latin typeface="Avenir LT Std 65 Medium"/>
              <a:ea typeface="Avenir LT Std 65 Medium"/>
              <a:cs typeface="Avenir LT Std 65 Medium"/>
            </a:rPr>
            <a:t>- The 'Pre-tax distributed profit' has been reduced to 158.7
</a:t>
          </a:r>
          <a:r>
            <a:rPr lang="en-US" cap="none" sz="1000" b="0" i="0" u="none" baseline="0">
              <a:solidFill>
                <a:srgbClr val="000000"/>
              </a:solidFill>
              <a:latin typeface="Avenir LT Std 65 Medium"/>
              <a:ea typeface="Avenir LT Std 65 Medium"/>
              <a:cs typeface="Avenir LT Std 65 Medium"/>
            </a:rPr>
            <a:t>These updates result in the following changes to the figures in the final three columns of the table: 
</a:t>
          </a:r>
          <a:r>
            <a:rPr lang="en-US" cap="none" sz="1000" b="0" i="0" u="none" baseline="0">
              <a:solidFill>
                <a:srgbClr val="000000"/>
              </a:solidFill>
              <a:latin typeface="Avenir LT Std 65 Medium"/>
              <a:ea typeface="Avenir LT Std 65 Medium"/>
              <a:cs typeface="Avenir LT Std 65 Medium"/>
            </a:rPr>
            <a:t>- The 'Overall PIT + CIT rate' becomes 43.3
</a:t>
          </a:r>
          <a:r>
            <a:rPr lang="en-US" cap="none" sz="1000" b="0" i="0" u="none" baseline="0">
              <a:solidFill>
                <a:srgbClr val="000000"/>
              </a:solidFill>
              <a:latin typeface="Avenir LT Std 65 Medium"/>
              <a:ea typeface="Avenir LT Std 65 Medium"/>
              <a:cs typeface="Avenir LT Std 65 Medium"/>
            </a:rPr>
            <a:t>- The 'CIT/PIT+CIT' becomes 85.4
</a:t>
          </a:r>
          <a:r>
            <a:rPr lang="en-US" cap="none" sz="1000" b="0" i="0" u="none" baseline="0">
              <a:solidFill>
                <a:srgbClr val="000000"/>
              </a:solidFill>
              <a:latin typeface="Avenir LT Std 65 Medium"/>
              <a:ea typeface="Avenir LT Std 65 Medium"/>
              <a:cs typeface="Avenir LT Std 65 Medium"/>
            </a:rPr>
            <a:t>- The 'PIT/PIT+CIT' becomes 14.6
</a:t>
          </a:r>
          <a:r>
            <a:rPr lang="en-US" cap="none" sz="1000" b="0" i="0" u="none" baseline="0">
              <a:solidFill>
                <a:srgbClr val="000000"/>
              </a:solidFill>
              <a:latin typeface="Avenir LT Std 65 Medium"/>
              <a:ea typeface="Avenir LT Std 65 Medium"/>
              <a:cs typeface="Avenir LT Std 65 Medium"/>
            </a:rPr>
            <a:t>(i) </a:t>
          </a:r>
          <a:r>
            <a:rPr lang="en-US" cap="none" sz="1000" b="0" i="0" u="none" baseline="0">
              <a:solidFill>
                <a:srgbClr val="000000"/>
              </a:solidFill>
              <a:latin typeface="Avenir LT Std 65 Medium"/>
              <a:ea typeface="Avenir LT Std 65 Medium"/>
              <a:cs typeface="Avenir LT Std 65 Medium"/>
            </a:rPr>
            <a:t>A rate of 25% is applicable for income from substantial interests. A taxpayer is regarded as having a substantial interest in a company if she/he, either alone or together with his partner, holds, directly or indirectly, at least 5% of the shares of that company. The table does not model the tax burden on distributed dividends when the shareholder does not have a substantial holding in the company. When the shares do not qualify as a substantial interest, a return of 4% is deemed to be received on the value of the underlying 'ordinary' shares and in 2012 (and since 2001), this deemed return is taxed at a rate of 30%.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(j) New Zealand has a non-calendar tax year. The rates shown are those in effect as of 1 April.
</a:t>
          </a:r>
          <a:r>
            <a:rPr lang="en-US" cap="none" sz="1000" b="0" i="0" u="none" baseline="0">
              <a:solidFill>
                <a:srgbClr val="000000"/>
              </a:solidFill>
              <a:latin typeface="Avenir LT Std 65 Medium"/>
              <a:ea typeface="Avenir LT Std 65 Medium"/>
              <a:cs typeface="Avenir LT Std 65 Medium"/>
            </a:rPr>
            <a:t>(k) At the shareholder level dividends equal to (or less than) the risk-free market interest rate times the cost price of the share is exempted. (The Shareholder Model). See the Explanatory Annex for more details. 
</a:t>
          </a:r>
          <a:r>
            <a:rPr lang="en-US" cap="none" sz="1000" b="0" i="0" u="none" baseline="0">
              <a:solidFill>
                <a:srgbClr val="000000"/>
              </a:solidFill>
              <a:latin typeface="Avenir LT Std 65 Medium"/>
              <a:ea typeface="Avenir LT Std 65 Medium"/>
              <a:cs typeface="Avenir LT Std 65 Medium"/>
            </a:rPr>
            <a:t>(l) S</a:t>
          </a:r>
          <a:r>
            <a:rPr lang="en-US" cap="none" sz="1000" b="0" i="0" u="none" baseline="0">
              <a:solidFill>
                <a:srgbClr val="000000"/>
              </a:solidFill>
              <a:latin typeface="Avenir LT Std 65 Medium"/>
              <a:ea typeface="Avenir LT Std 65 Medium"/>
              <a:cs typeface="Avenir LT Std 65 Medium"/>
            </a:rPr>
            <a:t>ince 2011 there is a State surtax. In 2011 this surtax was 2% for taxable profit above 2,000,000 euros, while in 2012 and 2013 this surtax is 3% for taxable profit above 1,500,000 euros and 5% for taxable profit above 10,000000 euros; form 2014 onwards as in 2011.</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(m) D</a:t>
          </a:r>
          <a:r>
            <a:rPr lang="en-US" cap="none" sz="1000" b="0" i="0" u="none" baseline="0">
              <a:solidFill>
                <a:srgbClr val="000000"/>
              </a:solidFill>
              <a:latin typeface="Avenir LT Std 65 Medium"/>
              <a:ea typeface="Avenir LT Std 65 Medium"/>
              <a:cs typeface="Avenir LT Std 65 Medium"/>
            </a:rPr>
            <a:t>ividends received by individuals are subject to a progressive tax schedule of 21% on the first EUR 6,000, 25% for those ranging up to € 24 000 and 27% over the previous figure. The first EUR 1 500 of dividends are exempted from tax at the shareholder level.</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(n) The corporate income tax rate includes the church tax, while the personal income tax rates excludes it. The data are computed for Zurich (representative town) with a MCL system. In Switzerland, a certain number of cantons have a</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system.</a:t>
          </a:r>
          <a:r>
            <a:rPr lang="en-US" cap="none" sz="1000" b="0" i="0" u="none" baseline="0">
              <a:solidFill>
                <a:srgbClr val="000000"/>
              </a:solidFill>
              <a:latin typeface="Avenir LT Std 65 Medium"/>
              <a:ea typeface="Avenir LT Std 65 Medium"/>
              <a:cs typeface="Avenir LT Std 65 Medium"/>
            </a:rPr>
            <a:t> The federal state changed from CL to MCL as of 1</a:t>
          </a:r>
          <a:r>
            <a:rPr lang="en-US" cap="none" sz="1000" b="0" i="0" u="none" baseline="0">
              <a:solidFill>
                <a:srgbClr val="000000"/>
              </a:solidFill>
              <a:latin typeface="Avenir LT Std 65 Medium"/>
              <a:ea typeface="Avenir LT Std 65 Medium"/>
              <a:cs typeface="Avenir LT Std 65 Medium"/>
            </a:rPr>
            <a:t> January</a:t>
          </a:r>
          <a:r>
            <a:rPr lang="en-US" cap="none" sz="1000" b="0" i="0" u="none" baseline="0">
              <a:solidFill>
                <a:srgbClr val="000000"/>
              </a:solidFill>
              <a:latin typeface="Avenir LT Std 65 Medium"/>
              <a:ea typeface="Avenir LT Std 65 Medium"/>
              <a:cs typeface="Avenir LT Std 65 Medium"/>
            </a:rPr>
            <a:t> 2009.
</a:t>
          </a:r>
          <a:r>
            <a:rPr lang="en-US" cap="none" sz="1000" b="0" i="0" u="none" baseline="0">
              <a:solidFill>
                <a:srgbClr val="000000"/>
              </a:solidFill>
              <a:latin typeface="Avenir LT Std 65 Medium"/>
              <a:ea typeface="Avenir LT Std 65 Medium"/>
              <a:cs typeface="Avenir LT Std 65 Medium"/>
            </a:rPr>
            <a:t>(o) United Kingdom has a non-calendar tax year. The rates shown are those in effect as of 5 April.
</a:t>
          </a:r>
          <a:r>
            <a:rPr lang="en-US" cap="none" sz="1000" b="0" i="0" u="none" baseline="0">
              <a:solidFill>
                <a:srgbClr val="000000"/>
              </a:solidFill>
              <a:latin typeface="Avenir LT Std 65 Medium"/>
              <a:ea typeface="Avenir LT Std 65 Medium"/>
              <a:cs typeface="Avenir LT Std 65 Medium"/>
            </a:rPr>
            <a:t>(p) The PIT rate on (grossed-up) dividend (column 6) is defined as the sum of the maximum federal personal income tax rate on dividends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2013.
</a:t>
          </a:r>
          <a:r>
            <a:rPr lang="en-US" cap="none" sz="1000" b="0" i="0" u="none" baseline="0">
              <a:solidFill>
                <a:srgbClr val="000000"/>
              </a:solidFill>
              <a:latin typeface="Avenir LT Std 65 Medium"/>
              <a:ea typeface="Avenir LT Std 65 Medium"/>
              <a:cs typeface="Avenir LT Std 65 Medium"/>
            </a:rPr>
            <a:t>http://www.oecd.org/tax/tax-policy/Table%20II.4_Nov%202013.xlsx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133350</xdr:rowOff>
    </xdr:from>
    <xdr:to>
      <xdr:col>26</xdr:col>
      <xdr:colOff>0</xdr:colOff>
      <xdr:row>124</xdr:row>
      <xdr:rowOff>19050</xdr:rowOff>
    </xdr:to>
    <xdr:sp>
      <xdr:nvSpPr>
        <xdr:cNvPr id="1" name="Text Box 1"/>
        <xdr:cNvSpPr txBox="1">
          <a:spLocks noChangeArrowheads="1"/>
        </xdr:cNvSpPr>
      </xdr:nvSpPr>
      <xdr:spPr>
        <a:xfrm>
          <a:off x="0" y="7753350"/>
          <a:ext cx="9134475" cy="125158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a:t>
          </a:r>
          <a:r>
            <a:rPr lang="en-US" cap="none" sz="1000" b="0" i="0" u="none" baseline="0">
              <a:solidFill>
                <a:srgbClr val="000000"/>
              </a:solidFill>
              <a:latin typeface="Avenir LT Std 65 Medium"/>
              <a:ea typeface="Avenir LT Std 65 Medium"/>
              <a:cs typeface="Avenir LT Std 65 Medium"/>
            </a:rPr>
            <a:t>gross-up</a:t>
          </a:r>
          <a:r>
            <a:rPr lang="en-US" cap="none" sz="1000" b="0" i="0" u="none" baseline="0">
              <a:solidFill>
                <a:srgbClr val="000000"/>
              </a:solidFill>
              <a:latin typeface="Avenir LT Std 65 Medium"/>
              <a:ea typeface="Avenir LT Std 65 Medium"/>
              <a:cs typeface="Avenir LT Std 65 Medium"/>
            </a:rPr>
            <a:t>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
</a:t>
          </a:r>
          <a:r>
            <a:rPr lang="en-US" cap="none" sz="1000" b="0" i="0" u="none" baseline="0">
              <a:solidFill>
                <a:srgbClr val="000000"/>
              </a:solidFill>
              <a:latin typeface="Avenir LT Std 65 Medium"/>
              <a:ea typeface="Avenir LT Std 65 Medium"/>
              <a:cs typeface="Avenir LT Std 65 Medium"/>
            </a:rPr>
            <a:t>(b) For shares issued before 1 January 1994 the (withholding) personal income tax rate is 25 per cent. The witholding tax is final, if the shareholder so chooses.
</a:t>
          </a:r>
          <a:r>
            <a:rPr lang="en-US" cap="none" sz="1000" b="0" i="0" u="none" baseline="0">
              <a:solidFill>
                <a:srgbClr val="000000"/>
              </a:solidFill>
              <a:latin typeface="Avenir LT Std 65 Medium"/>
              <a:ea typeface="Avenir LT Std 65 Medium"/>
              <a:cs typeface="Avenir LT Std 65 Medium"/>
            </a:rPr>
            <a:t>The lower the return on equity before tax, the lower the effective tax rate due to the allowance for corporate equity (ACE). E.g. the effective corporate tax rate is only half the nominal (statutory) corporate income tax rate when the return on equity before tax is twice the notional interest rate (3.425% in 2011).
</a:t>
          </a:r>
          <a:r>
            <a:rPr lang="en-US" cap="none" sz="1000" b="0" i="0" u="none" baseline="0">
              <a:solidFill>
                <a:srgbClr val="000000"/>
              </a:solidFill>
              <a:latin typeface="Avenir LT Std 65 Medium"/>
              <a:ea typeface="Avenir LT Std 65 Medium"/>
              <a:cs typeface="Avenir LT Std 65 Medium"/>
            </a:rPr>
            <a:t>(c) E</a:t>
          </a:r>
          <a:r>
            <a:rPr lang="en-US" cap="none" sz="1000" b="0" i="0" u="none" baseline="0">
              <a:solidFill>
                <a:srgbClr val="000000"/>
              </a:solidFill>
              <a:latin typeface="Avenir LT Std 65 Medium"/>
              <a:ea typeface="Avenir LT Std 65 Medium"/>
              <a:cs typeface="Avenir LT Std 65 Medium"/>
            </a:rPr>
            <a:t>ffective 2006, Canada introduced an enhanced gross-up and dividend tax credit regime for dividends distributed by large corporations, which are subject to a higher statutory rate than small businesses.  As a result, Canada is operating a dual rate gross up and dividend tax credit system that is providing full imputation at the federal level (a number of provinces responded to the federal initiative by adjusting their own DTC rates). Rates presented are those applicable to large corporation dividends.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(d)</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Of the dividends from non-listed companies, an amount equal to 9% of the annual return calculated on the mathematical value of the shares of the company is tax exempt up to a maximum on EUR 90 000. Of the amount exceeding the 9% exemption, 70% is regarded as taxable earned income, and 30% is tax free. Of the amount of dividends that exceeds EUR 90 000 </a:t>
          </a:r>
          <a:r>
            <a:rPr lang="en-US" cap="none" sz="1000" b="0" i="0" u="none" baseline="0">
              <a:solidFill>
                <a:srgbClr val="000000"/>
              </a:solidFill>
              <a:latin typeface="Avenir LT Std 65 Medium"/>
              <a:ea typeface="Avenir LT Std 65 Medium"/>
              <a:cs typeface="Avenir LT Std 65 Medium"/>
            </a:rPr>
            <a:t>but not the 9% exemption, </a:t>
          </a:r>
          <a:r>
            <a:rPr lang="en-US" cap="none" sz="1000" b="0" i="0" u="none" baseline="0">
              <a:solidFill>
                <a:srgbClr val="000000"/>
              </a:solidFill>
              <a:latin typeface="Avenir LT Std 65 Medium"/>
              <a:ea typeface="Avenir LT Std 65 Medium"/>
              <a:cs typeface="Avenir LT Std 65 Medium"/>
            </a:rPr>
            <a:t>70% is taxed as capital income and 30% is tax free. The highest marginal tax rate is higher for earned income than the 28% applied for capital income</a:t>
          </a:r>
          <a:r>
            <a:rPr lang="en-US" cap="none" sz="1000" b="0" i="0" u="none" baseline="0">
              <a:solidFill>
                <a:srgbClr val="000000"/>
              </a:solidFill>
              <a:latin typeface="Avenir LT Std 65 Medium"/>
              <a:ea typeface="Avenir LT Std 65 Medium"/>
              <a:cs typeface="Avenir LT Std 65 Medium"/>
            </a:rPr>
            <a:t>.</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(e) For companies not paying the CSB (Contribution sociale sur les bénéfices), the corporate income tax rates are 1.1 percentage points lower. See Table II.1 for more details. Included in the rate in column 6 are the final withholding rate (19 %), the high income exceptional contribution (4 % for total income over 500 000 € per year) and the social contributions (12.3 % in January 2011, increased to 12.5 % in October 2011) levied on distributed profits (100). The tax payer is supposed to be rational : the final withholding rate is optional but is lower than the taxation resulting from the progressive tax schedule when the tax payer is at the top PIT rate.</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(f) In 2011 the Personal Income Tax rate was increased from 18% to 20% from 1 January. No change in the tax-free limit.
</a:t>
          </a:r>
          <a:r>
            <a:rPr lang="en-US" cap="none" sz="1000" b="0" i="0" u="none" baseline="0">
              <a:solidFill>
                <a:srgbClr val="000000"/>
              </a:solidFill>
              <a:latin typeface="Avenir LT Std 65 Medium"/>
              <a:ea typeface="Avenir LT Std 65 Medium"/>
              <a:cs typeface="Avenir LT Std 65 Medium"/>
            </a:rPr>
            <a:t>(g) Figures refer to taxpayers with “non-qualified” shareholdings who opt for a final withholding tax with a rate of 12.5% instead of having their dividends taxed under the ordinary personal income tax. See the Explanatory Annex for more details. 
</a:t>
          </a:r>
          <a:r>
            <a:rPr lang="en-US" cap="none" sz="1000" b="0" i="0" u="none" baseline="0">
              <a:solidFill>
                <a:srgbClr val="000000"/>
              </a:solidFill>
              <a:latin typeface="Avenir LT Std 65 Medium"/>
              <a:ea typeface="Avenir LT Std 65 Medium"/>
              <a:cs typeface="Avenir LT Std 65 Medium"/>
            </a:rPr>
            <a:t>(h)</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There are three methods of taxation on dividends; withholding taxation at a rate of 20% (10% for dividends distributed during the period between April 2003 and December 2011). In this case, taxpayers don't include the dividend income in the tax return; self-assessment taxation at the same rate as a  withholding tax rate. Choosing this method, taxpayers can aggregate dividends and capital losses;  aggregate taxation (10%-50% ). When taxpayers choose this method,
</a:t>
          </a:r>
          <a:r>
            <a:rPr lang="en-US" cap="none" sz="1000" b="0" i="0" u="none" baseline="0">
              <a:solidFill>
                <a:srgbClr val="000000"/>
              </a:solidFill>
              <a:latin typeface="Avenir LT Std 65 Medium"/>
              <a:ea typeface="Avenir LT Std 65 Medium"/>
              <a:cs typeface="Avenir LT Std 65 Medium"/>
            </a:rPr>
            <a:t>the Credit for Dividends (to deduct 6.4%-12.8% of dividend income from income tax and local inhabitants tax) is applicable.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(i)</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rate of 25% is applicable for income from substantial interests. A taxpayer is regarded as having a substantial interest in a company if she/he, either alone or together with his partner, holds, directly or indirectly, at least 5% of the shares of that company. The table does not model the tax burden on distributed dividends when the shareholder does not have a substantial holding in the company. When the shares do not qualify as a substantial interest, a return of 4% is deemed to be received on the value of the underlying 'ordinary' shares and in 2011 (and since 2001), this deemed return is taxed at a rate of 30%. 
</a:t>
          </a:r>
          <a:r>
            <a:rPr lang="en-US" cap="none" sz="1000" b="0" i="0" u="none" baseline="0">
              <a:solidFill>
                <a:srgbClr val="000000"/>
              </a:solidFill>
              <a:latin typeface="Avenir LT Std 65 Medium"/>
              <a:ea typeface="Avenir LT Std 65 Medium"/>
              <a:cs typeface="Avenir LT Std 65 Medium"/>
            </a:rPr>
            <a:t>(j) New Zealand has a non-calendar tax year. The rates shown are those in effect as of 1 April.
</a:t>
          </a:r>
          <a:r>
            <a:rPr lang="en-US" cap="none" sz="1000" b="0" i="0" u="none" baseline="0">
              <a:solidFill>
                <a:srgbClr val="000000"/>
              </a:solidFill>
              <a:latin typeface="Avenir LT Std 65 Medium"/>
              <a:ea typeface="Avenir LT Std 65 Medium"/>
              <a:cs typeface="Avenir LT Std 65 Medium"/>
            </a:rPr>
            <a:t>(k) At the shareholder level dividends equal to (or less than) the risk-free market interest rate times the cost price of the share is exempted. (The Shareholder Model). See the Explanatory Annex for more details. 
</a:t>
          </a:r>
          <a:r>
            <a:rPr lang="en-US" cap="none" sz="1000" b="0" i="0" u="none" baseline="0">
              <a:solidFill>
                <a:srgbClr val="000000"/>
              </a:solidFill>
              <a:latin typeface="Avenir LT Std 65 Medium"/>
              <a:ea typeface="Avenir LT Std 65 Medium"/>
              <a:cs typeface="Avenir LT Std 65 Medium"/>
            </a:rPr>
            <a:t>(l) Since 2009, two general tax rates are applied at a Central Government Level. A general tax rate of 12,5% will be applied for the first € 12500 of taxable income and a 25% tax rate will be applied for the remaining amount of taxable income (when the total taxable income exceeds € 12500).
</a:t>
          </a:r>
          <a:r>
            <a:rPr lang="en-US" cap="none" sz="1000" b="0" i="0" u="none" baseline="0">
              <a:solidFill>
                <a:srgbClr val="000000"/>
              </a:solidFill>
              <a:latin typeface="Avenir LT Std 65 Medium"/>
              <a:ea typeface="Avenir LT Std 65 Medium"/>
              <a:cs typeface="Avenir LT Std 65 Medium"/>
            </a:rPr>
            <a:t>(m) Dividends received by individuals are subject to a progressive tax schedule of 19 per cent on the first EUR 6,000 and 21% for those above this figure. The first EUR 1 500 of dividends are exempted from tax at the shareholder level.
</a:t>
          </a:r>
          <a:r>
            <a:rPr lang="en-US" cap="none" sz="1000" b="0" i="0" u="none" baseline="0">
              <a:solidFill>
                <a:srgbClr val="000000"/>
              </a:solidFill>
              <a:latin typeface="Avenir LT Std 65 Medium"/>
              <a:ea typeface="Avenir LT Std 65 Medium"/>
              <a:cs typeface="Avenir LT Std 65 Medium"/>
            </a:rPr>
            <a:t>(n) The corporate income tax rate includes the church tax, while the personal income tax rates excludes it. The data are computed for Zurich (representative town) with a MCL system. In Switzerland, a certain number of cantons have a</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system.</a:t>
          </a:r>
          <a:r>
            <a:rPr lang="en-US" cap="none" sz="1000" b="0" i="0" u="none" baseline="0">
              <a:solidFill>
                <a:srgbClr val="000000"/>
              </a:solidFill>
              <a:latin typeface="Avenir LT Std 65 Medium"/>
              <a:ea typeface="Avenir LT Std 65 Medium"/>
              <a:cs typeface="Avenir LT Std 65 Medium"/>
            </a:rPr>
            <a:t> The federal state changed from CL to MCL as of 1</a:t>
          </a:r>
          <a:r>
            <a:rPr lang="en-US" cap="none" sz="1000" b="0" i="0" u="none" baseline="0">
              <a:solidFill>
                <a:srgbClr val="000000"/>
              </a:solidFill>
              <a:latin typeface="Avenir LT Std 65 Medium"/>
              <a:ea typeface="Avenir LT Std 65 Medium"/>
              <a:cs typeface="Avenir LT Std 65 Medium"/>
            </a:rPr>
            <a:t> January</a:t>
          </a:r>
          <a:r>
            <a:rPr lang="en-US" cap="none" sz="1000" b="0" i="0" u="none" baseline="0">
              <a:solidFill>
                <a:srgbClr val="000000"/>
              </a:solidFill>
              <a:latin typeface="Avenir LT Std 65 Medium"/>
              <a:ea typeface="Avenir LT Std 65 Medium"/>
              <a:cs typeface="Avenir LT Std 65 Medium"/>
            </a:rPr>
            <a:t> 2009.
</a:t>
          </a:r>
          <a:r>
            <a:rPr lang="en-US" cap="none" sz="1000" b="0" i="0" u="none" baseline="0">
              <a:solidFill>
                <a:srgbClr val="000000"/>
              </a:solidFill>
              <a:latin typeface="Avenir LT Std 65 Medium"/>
              <a:ea typeface="Avenir LT Std 65 Medium"/>
              <a:cs typeface="Avenir LT Std 65 Medium"/>
            </a:rPr>
            <a:t>(o) United Kingdom has a non-calendar tax year. The rates shown are those in effect as of 5 April.
</a:t>
          </a:r>
          <a:r>
            <a:rPr lang="en-US" cap="none" sz="1000" b="0" i="0" u="none" baseline="0">
              <a:solidFill>
                <a:srgbClr val="000000"/>
              </a:solidFill>
              <a:latin typeface="Avenir LT Std 65 Medium"/>
              <a:ea typeface="Avenir LT Std 65 Medium"/>
              <a:cs typeface="Avenir LT Std 65 Medium"/>
            </a:rPr>
            <a:t>(p) The PIT rate on (grossed-up) dividend (column 6) is defined as the sum of the maximum federal personal income tax rate on dividends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2013.
</a:t>
          </a:r>
          <a:r>
            <a:rPr lang="en-US" cap="none" sz="1000" b="0" i="0" u="none" baseline="0">
              <a:solidFill>
                <a:srgbClr val="000000"/>
              </a:solidFill>
              <a:latin typeface="Avenir LT Std 65 Medium"/>
              <a:ea typeface="Avenir LT Std 65 Medium"/>
              <a:cs typeface="Avenir LT Std 65 Medium"/>
            </a:rPr>
            <a:t>http://www.oecd.org/tax/tax-policy/Table%20II.4_Nov%202013.xlsx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133350</xdr:rowOff>
    </xdr:from>
    <xdr:to>
      <xdr:col>26</xdr:col>
      <xdr:colOff>0</xdr:colOff>
      <xdr:row>126</xdr:row>
      <xdr:rowOff>57150</xdr:rowOff>
    </xdr:to>
    <xdr:sp>
      <xdr:nvSpPr>
        <xdr:cNvPr id="1" name="Text Box 1"/>
        <xdr:cNvSpPr txBox="1">
          <a:spLocks noChangeArrowheads="1"/>
        </xdr:cNvSpPr>
      </xdr:nvSpPr>
      <xdr:spPr>
        <a:xfrm>
          <a:off x="0" y="7705725"/>
          <a:ext cx="9172575" cy="128778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a:t>
          </a:r>
          <a:r>
            <a:rPr lang="en-US" cap="none" sz="1000" b="0" i="0" u="none" baseline="0">
              <a:solidFill>
                <a:srgbClr val="000000"/>
              </a:solidFill>
              <a:latin typeface="Avenir LT Std 65 Medium"/>
              <a:ea typeface="Avenir LT Std 65 Medium"/>
              <a:cs typeface="Avenir LT Std 65 Medium"/>
            </a:rPr>
            <a:t>gross-up</a:t>
          </a:r>
          <a:r>
            <a:rPr lang="en-US" cap="none" sz="1000" b="0" i="0" u="none" baseline="0">
              <a:solidFill>
                <a:srgbClr val="000000"/>
              </a:solidFill>
              <a:latin typeface="Avenir LT Std 65 Medium"/>
              <a:ea typeface="Avenir LT Std 65 Medium"/>
              <a:cs typeface="Avenir LT Std 65 Medium"/>
            </a:rPr>
            <a:t>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
</a:t>
          </a:r>
          <a:r>
            <a:rPr lang="en-US" cap="none" sz="1000" b="0" i="0" u="none" baseline="0">
              <a:solidFill>
                <a:srgbClr val="000000"/>
              </a:solidFill>
              <a:latin typeface="Avenir LT Std 65 Medium"/>
              <a:ea typeface="Avenir LT Std 65 Medium"/>
              <a:cs typeface="Avenir LT Std 65 Medium"/>
            </a:rPr>
            <a:t>(b) For shares issued before 1 January 1994 the (withholding) personal income tax rate is 25 per cent. The witholding tax is final, if the shareholder so chooses.
</a:t>
          </a:r>
          <a:r>
            <a:rPr lang="en-US" cap="none" sz="1000" b="0" i="0" u="none" baseline="0">
              <a:solidFill>
                <a:srgbClr val="000000"/>
              </a:solidFill>
              <a:latin typeface="Avenir LT Std 65 Medium"/>
              <a:ea typeface="Avenir LT Std 65 Medium"/>
              <a:cs typeface="Avenir LT Std 65 Medium"/>
            </a:rPr>
            <a:t>The lower the return on equity before tax, the lower the effective tax rate due to the allowance for corporate equity (ACE). E.g. the effective corporate tax rate is only half the nominal (statutory) corporate income tax rate when the return on equity before tax is twice the notional interest rate (3.8% in 2010).
</a:t>
          </a:r>
          <a:r>
            <a:rPr lang="en-US" cap="none" sz="1000" b="0" i="0" u="none" baseline="0">
              <a:solidFill>
                <a:srgbClr val="000000"/>
              </a:solidFill>
              <a:latin typeface="Avenir LT Std 65 Medium"/>
              <a:ea typeface="Avenir LT Std 65 Medium"/>
              <a:cs typeface="Avenir LT Std 65 Medium"/>
            </a:rPr>
            <a:t>(c) E</a:t>
          </a:r>
          <a:r>
            <a:rPr lang="en-US" cap="none" sz="1000" b="0" i="0" u="none" baseline="0">
              <a:solidFill>
                <a:srgbClr val="000000"/>
              </a:solidFill>
              <a:latin typeface="Avenir LT Std 65 Medium"/>
              <a:ea typeface="Avenir LT Std 65 Medium"/>
              <a:cs typeface="Avenir LT Std 65 Medium"/>
            </a:rPr>
            <a:t>ffective 2006, Canada introduced an enhanced gross-up and dividend tax credit regime for dividends distributed by large corporations, which are subject to a higher statutory rate than small businesses.  As a result, Canada is operating a dual rate gross up and dividend tax credit system that is providing full imputation at the federal level (a number of provinces responded to the federal initiative by adjusting their own DTC rates). Rates presented are those applicable to large corporation dividends.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(d) </a:t>
          </a:r>
          <a:r>
            <a:rPr lang="en-US" cap="none" sz="1000" b="0" i="0" u="none" baseline="0">
              <a:solidFill>
                <a:srgbClr val="000000"/>
              </a:solidFill>
              <a:latin typeface="Avenir LT Std 65 Medium"/>
              <a:ea typeface="Avenir LT Std 65 Medium"/>
              <a:cs typeface="Avenir LT Std 65 Medium"/>
            </a:rPr>
            <a:t>Of the dividends from non-listed companies, an amount equal to 9% of the annual return calculated on the mathematical value of the shares of the company is tax exempt up to a maximum on EUR 90 000. Of the amount exceeding the 9% exemption, 70% is regarded as taxable earned income, and 30% is tax free. Of the amount of dividends that exceeds EUR 90 000 </a:t>
          </a:r>
          <a:r>
            <a:rPr lang="en-US" cap="none" sz="1000" b="0" i="0" u="none" baseline="0">
              <a:solidFill>
                <a:srgbClr val="000000"/>
              </a:solidFill>
              <a:latin typeface="Avenir LT Std 65 Medium"/>
              <a:ea typeface="Avenir LT Std 65 Medium"/>
              <a:cs typeface="Avenir LT Std 65 Medium"/>
            </a:rPr>
            <a:t>but not the 9% exemption, </a:t>
          </a:r>
          <a:r>
            <a:rPr lang="en-US" cap="none" sz="1000" b="0" i="0" u="none" baseline="0">
              <a:solidFill>
                <a:srgbClr val="000000"/>
              </a:solidFill>
              <a:latin typeface="Avenir LT Std 65 Medium"/>
              <a:ea typeface="Avenir LT Std 65 Medium"/>
              <a:cs typeface="Avenir LT Std 65 Medium"/>
            </a:rPr>
            <a:t>70% is taxed as capital income and 30% is tax free. The highest marginal tax rate is higher for earned income than the 28% applied for capital income</a:t>
          </a:r>
          <a:r>
            <a:rPr lang="en-US" cap="none" sz="1000" b="0" i="0" u="none" baseline="0">
              <a:solidFill>
                <a:srgbClr val="000000"/>
              </a:solidFill>
              <a:latin typeface="Avenir LT Std 65 Medium"/>
              <a:ea typeface="Avenir LT Std 65 Medium"/>
              <a:cs typeface="Avenir LT Std 65 Medium"/>
            </a:rPr>
            <a:t>.</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(e) For companies not paying the CSB (contribution sociale sur les bénéfices), the corporate income tax rates are 1.1 percentage points lower. See Table II.1 for more details. Included in the rate in column 6 are the final withholding (18 %) and the social contributions (12.1 %) levied on distributed profits (100). The tax payer is supposed to be rational : the final withholding rate is optional but is lower than the taxation resulting from the progressive tax schedule when the tax payer is at the top PIT rate.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(f) In 2010 the Personal Income Tax rate was increased from 10% / 15% to a single rate of 18% from 1 January with no surtax, but with a tax-free limit of 100,000 ISK annually. </a:t>
          </a:r>
          <a:r>
            <a:rPr lang="en-US" cap="none" sz="1000" b="1"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(g) Figures refer to taxpayers with “non-qualified” shareholdings who opt for a final withholding tax with a rate of 12.5% instead of having their dividends taxed under the ordinary personal income tax. See the Explanatory Annex for more details. 
</a:t>
          </a:r>
          <a:r>
            <a:rPr lang="en-US" cap="none" sz="1000" b="0" i="0" u="none" baseline="0">
              <a:solidFill>
                <a:srgbClr val="000000"/>
              </a:solidFill>
              <a:latin typeface="Avenir LT Std 65 Medium"/>
              <a:ea typeface="Avenir LT Std 65 Medium"/>
              <a:cs typeface="Avenir LT Std 65 Medium"/>
            </a:rPr>
            <a:t>(h) D</a:t>
          </a:r>
          <a:r>
            <a:rPr lang="en-US" cap="none" sz="1000" b="0" i="0" u="none" baseline="0">
              <a:solidFill>
                <a:srgbClr val="000000"/>
              </a:solidFill>
              <a:latin typeface="Avenir LT Std 65 Medium"/>
              <a:ea typeface="Avenir LT Std 65 Medium"/>
              <a:cs typeface="Avenir LT Std 65 Medium"/>
            </a:rPr>
            <a:t>ividends distributed by listed corporations are withheld at a rate of 20% (10% for dividends distributed during the period between April 2003 and December 2011), and the taxpayer can choose not to include the dividend income in the tax return. On the other hand, if dividends are subject to an aggregate tax (10%-50%), the Credit for Dividends (to deduct 6.4%-12.8% of dividend income from income tax and local inhabitants tax) is applicable.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(i) F</a:t>
          </a:r>
          <a:r>
            <a:rPr lang="en-US" cap="none" sz="1000" b="0" i="0" u="none" baseline="0">
              <a:solidFill>
                <a:srgbClr val="000000"/>
              </a:solidFill>
              <a:latin typeface="Avenir LT Std 65 Medium"/>
              <a:ea typeface="Avenir LT Std 65 Medium"/>
              <a:cs typeface="Avenir LT Std 65 Medium"/>
            </a:rPr>
            <a:t>or 2010 a rate of 25% is applicable for income from substantial interests. A taxpayer is regarded as having a substantial interest in a company if she/he, either alone or together with his partner, holds, directly or indirectly, at least 5% of the shares of that company. The table does not model the tax burden on distributed dividends when the shareholder does not have a substantial holding in the company. When the shares do not qualify as a substantial interest, a return of 4% is deemed to be received on the value of the underlying 'ordinary' shares and in 2010 (and since 2001), this deemed return is taxed at a rate of 30%. 
</a:t>
          </a:r>
          <a:r>
            <a:rPr lang="en-US" cap="none" sz="1000" b="0" i="0" u="none" baseline="0">
              <a:solidFill>
                <a:srgbClr val="000000"/>
              </a:solidFill>
              <a:latin typeface="Avenir LT Std 65 Medium"/>
              <a:ea typeface="Avenir LT Std 65 Medium"/>
              <a:cs typeface="Avenir LT Std 65 Medium"/>
            </a:rPr>
            <a:t>(j) New Zealand has a non-calendar tax year. The rates shown are those in effect as of 1 April.
</a:t>
          </a:r>
          <a:r>
            <a:rPr lang="en-US" cap="none" sz="1000" b="0" i="0" u="none" baseline="0">
              <a:solidFill>
                <a:srgbClr val="000000"/>
              </a:solidFill>
              <a:latin typeface="Avenir LT Std 65 Medium"/>
              <a:ea typeface="Avenir LT Std 65 Medium"/>
              <a:cs typeface="Avenir LT Std 65 Medium"/>
            </a:rPr>
            <a:t>(k) At the shareholder level dividends equal to (or less than) the risk-free market interest rate times the cost price of the share is exempted. (The Shareholder Model). See the Explanatory Annex for more details. 
</a:t>
          </a:r>
          <a:r>
            <a:rPr lang="en-US" cap="none" sz="1000" b="0" i="0" u="none" baseline="0">
              <a:solidFill>
                <a:srgbClr val="000000"/>
              </a:solidFill>
              <a:latin typeface="Avenir LT Std 65 Medium"/>
              <a:ea typeface="Avenir LT Std 65 Medium"/>
              <a:cs typeface="Avenir LT Std 65 Medium"/>
            </a:rPr>
            <a:t>(l) S</a:t>
          </a:r>
          <a:r>
            <a:rPr lang="en-US" cap="none" sz="1000" b="0" i="0" u="none" baseline="0">
              <a:solidFill>
                <a:srgbClr val="000000"/>
              </a:solidFill>
              <a:latin typeface="Avenir LT Std 65 Medium"/>
              <a:ea typeface="Avenir LT Std 65 Medium"/>
              <a:cs typeface="Avenir LT Std 65 Medium"/>
            </a:rPr>
            <a:t>ince 2009, two general tax rates are applied at a Central Government Level. A general tax rate of 12,5% will be applied for the first € 12500 of taxable income and a 25% tax rate will be applied for the remaining amount of taxable income (when the total taxable income exceeds € 12500).
</a:t>
          </a:r>
          <a:r>
            <a:rPr lang="en-US" cap="none" sz="1000" b="0" i="0" u="none" baseline="0">
              <a:solidFill>
                <a:srgbClr val="000000"/>
              </a:solidFill>
              <a:latin typeface="Avenir LT Std 65 Medium"/>
              <a:ea typeface="Avenir LT Std 65 Medium"/>
              <a:cs typeface="Avenir LT Std 65 Medium"/>
            </a:rPr>
            <a:t>(m) A</a:t>
          </a:r>
          <a:r>
            <a:rPr lang="en-US" cap="none" sz="1000" b="0" i="0" u="none" baseline="0">
              <a:solidFill>
                <a:srgbClr val="000000"/>
              </a:solidFill>
              <a:latin typeface="Avenir LT Std 65 Medium"/>
              <a:ea typeface="Avenir LT Std 65 Medium"/>
              <a:cs typeface="Avenir LT Std 65 Medium"/>
            </a:rPr>
            <a:t>s from 1 January 2008, the corporate income tax rate was reduced to 30.0 per cent. Since 2010 dividends received by individuals are subject to a progressive tax schedule of 19 per cent on the first EUR 6,000 and 21% for those above this figure. The first EUR 1 500 of dividends are exempted from tax at the shareholder level.</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(n) The corporate income tax rate includes the church tax, while the personal income tax rates excludes it. The data are computed for Zurich (representative town) with a MCL system. In Switzerland, a certain number of cantons have a</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system.</a:t>
          </a:r>
          <a:r>
            <a:rPr lang="en-US" cap="none" sz="1000" b="0" i="0" u="none" baseline="0">
              <a:solidFill>
                <a:srgbClr val="000000"/>
              </a:solidFill>
              <a:latin typeface="Avenir LT Std 65 Medium"/>
              <a:ea typeface="Avenir LT Std 65 Medium"/>
              <a:cs typeface="Avenir LT Std 65 Medium"/>
            </a:rPr>
            <a:t> The federal state changed from CL to MCL as of 1</a:t>
          </a:r>
          <a:r>
            <a:rPr lang="en-US" cap="none" sz="1000" b="0" i="0" u="none" baseline="0">
              <a:solidFill>
                <a:srgbClr val="000000"/>
              </a:solidFill>
              <a:latin typeface="Avenir LT Std 65 Medium"/>
              <a:ea typeface="Avenir LT Std 65 Medium"/>
              <a:cs typeface="Avenir LT Std 65 Medium"/>
            </a:rPr>
            <a:t> January</a:t>
          </a:r>
          <a:r>
            <a:rPr lang="en-US" cap="none" sz="1000" b="0" i="0" u="none" baseline="0">
              <a:solidFill>
                <a:srgbClr val="000000"/>
              </a:solidFill>
              <a:latin typeface="Avenir LT Std 65 Medium"/>
              <a:ea typeface="Avenir LT Std 65 Medium"/>
              <a:cs typeface="Avenir LT Std 65 Medium"/>
            </a:rPr>
            <a:t> 2009.
</a:t>
          </a:r>
          <a:r>
            <a:rPr lang="en-US" cap="none" sz="1000" b="0" i="0" u="none" baseline="0">
              <a:solidFill>
                <a:srgbClr val="000000"/>
              </a:solidFill>
              <a:latin typeface="Avenir LT Std 65 Medium"/>
              <a:ea typeface="Avenir LT Std 65 Medium"/>
              <a:cs typeface="Avenir LT Std 65 Medium"/>
            </a:rPr>
            <a:t>(o) United Kingdom has a non-calendar tax year. The rates shown are those in effect as of 5 April.
</a:t>
          </a:r>
          <a:r>
            <a:rPr lang="en-US" cap="none" sz="1000" b="0" i="0" u="none" baseline="0">
              <a:solidFill>
                <a:srgbClr val="000000"/>
              </a:solidFill>
              <a:latin typeface="Avenir LT Std 65 Medium"/>
              <a:ea typeface="Avenir LT Std 65 Medium"/>
              <a:cs typeface="Avenir LT Std 65 Medium"/>
            </a:rPr>
            <a:t>(p) The PIT rate on (grossed-up) dividend (column 6) is defined as the sum of the maximum federal personal income tax rate on dividends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2013.
</a:t>
          </a:r>
          <a:r>
            <a:rPr lang="en-US" cap="none" sz="1000" b="0" i="0" u="none" baseline="0">
              <a:solidFill>
                <a:srgbClr val="000000"/>
              </a:solidFill>
              <a:latin typeface="Avenir LT Std 65 Medium"/>
              <a:ea typeface="Avenir LT Std 65 Medium"/>
              <a:cs typeface="Avenir LT Std 65 Medium"/>
            </a:rPr>
            <a:t>http://www.oecd.org/tax/tax-policy/Table%20II.4_Nov%202013.xlsx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133350</xdr:rowOff>
    </xdr:from>
    <xdr:to>
      <xdr:col>26</xdr:col>
      <xdr:colOff>0</xdr:colOff>
      <xdr:row>123</xdr:row>
      <xdr:rowOff>47625</xdr:rowOff>
    </xdr:to>
    <xdr:sp>
      <xdr:nvSpPr>
        <xdr:cNvPr id="1" name="Text Box 1"/>
        <xdr:cNvSpPr txBox="1">
          <a:spLocks noChangeArrowheads="1"/>
        </xdr:cNvSpPr>
      </xdr:nvSpPr>
      <xdr:spPr>
        <a:xfrm>
          <a:off x="0" y="7705725"/>
          <a:ext cx="9096375" cy="123825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
</a:t>
          </a:r>
          <a:r>
            <a:rPr lang="en-US" cap="none" sz="1000" b="0" i="0" u="none" baseline="0">
              <a:solidFill>
                <a:srgbClr val="000000"/>
              </a:solidFill>
              <a:latin typeface="Avenir LT Std 65 Medium"/>
              <a:ea typeface="Avenir LT Std 65 Medium"/>
              <a:cs typeface="Avenir LT Std 65 Medium"/>
            </a:rPr>
            <a:t>(b)</a:t>
          </a:r>
          <a:r>
            <a:rPr lang="en-US" cap="none" sz="1000" b="0" i="0" u="none" baseline="0">
              <a:solidFill>
                <a:srgbClr val="000000"/>
              </a:solidFill>
              <a:latin typeface="Avenir LT Std 65 Medium"/>
              <a:ea typeface="Avenir LT Std 65 Medium"/>
              <a:cs typeface="Avenir LT Std 65 Medium"/>
            </a:rPr>
            <a:t> F</a:t>
          </a:r>
          <a:r>
            <a:rPr lang="en-US" cap="none" sz="1000" b="0" i="0" u="none" baseline="0">
              <a:solidFill>
                <a:srgbClr val="000000"/>
              </a:solidFill>
              <a:latin typeface="Avenir LT Std 65 Medium"/>
              <a:ea typeface="Avenir LT Std 65 Medium"/>
              <a:cs typeface="Avenir LT Std 65 Medium"/>
            </a:rPr>
            <a:t>or shares issued before 1 January 1994 the (withholding) personal income tax rate is 25 per cent. The witholding tax is final, if the shareholder so chooses.
</a:t>
          </a:r>
          <a:r>
            <a:rPr lang="en-US" cap="none" sz="1000" b="0" i="0" u="none" baseline="0">
              <a:solidFill>
                <a:srgbClr val="000000"/>
              </a:solidFill>
              <a:latin typeface="Avenir LT Std 65 Medium"/>
              <a:ea typeface="Avenir LT Std 65 Medium"/>
              <a:cs typeface="Avenir LT Std 65 Medium"/>
            </a:rPr>
            <a:t>The lower the return on equity before tax, the lower the effective tax rate due to the allowance for corporate equity (ACE). E.g. the effective corporate tax rate is only half the nominal (statutory) corporate income tax rate when the return on equity before tax is twice the notional interest rate (4.473% in 2009).
</a:t>
          </a:r>
          <a:r>
            <a:rPr lang="en-US" cap="none" sz="1000" b="0" i="0" u="none" baseline="0">
              <a:solidFill>
                <a:srgbClr val="000000"/>
              </a:solidFill>
              <a:latin typeface="Avenir LT Std 65 Medium"/>
              <a:ea typeface="Avenir LT Std 65 Medium"/>
              <a:cs typeface="Avenir LT Std 65 Medium"/>
            </a:rPr>
            <a:t>(c) E</a:t>
          </a:r>
          <a:r>
            <a:rPr lang="en-US" cap="none" sz="1000" b="0" i="0" u="none" baseline="0">
              <a:solidFill>
                <a:srgbClr val="000000"/>
              </a:solidFill>
              <a:latin typeface="Avenir LT Std 65 Medium"/>
              <a:ea typeface="Avenir LT Std 65 Medium"/>
              <a:cs typeface="Avenir LT Std 65 Medium"/>
            </a:rPr>
            <a:t>ffective 2006, Canada introduced an enhanced gross-up and dividend tax credit regime for dividends distributed by large corporations, which are subject to a higher statutory rate than small businesses.  As a result, Canada is operating a dual rate gross up and dividend tax credit system that is providing full imputation at the federal level (a number of provinces responded to the federal initiative by adjusting their own DTC rates). Rates presented are those applicable to large corporation dividends.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(d) </a:t>
          </a:r>
          <a:r>
            <a:rPr lang="en-US" cap="none" sz="1000" b="0" i="0" u="none" baseline="0">
              <a:solidFill>
                <a:srgbClr val="000000"/>
              </a:solidFill>
              <a:latin typeface="Avenir LT Std 65 Medium"/>
              <a:ea typeface="Avenir LT Std 65 Medium"/>
              <a:cs typeface="Avenir LT Std 65 Medium"/>
            </a:rPr>
            <a:t>Of the dividends from non-listed companies, an amount equal to 9% of the annual return calculated on the mathematical value of the shares of the company is tax exempt up to a maximum on EUR 90 000. Of the amount exceeding the 9% exemption, 70% is regarded as taxable earned income, and 30% is tax free. Of the amount of dividends that exceeds EUR 90 000 </a:t>
          </a:r>
          <a:r>
            <a:rPr lang="en-US" cap="none" sz="1000" b="0" i="0" u="none" baseline="0">
              <a:solidFill>
                <a:srgbClr val="000000"/>
              </a:solidFill>
              <a:latin typeface="Avenir LT Std 65 Medium"/>
              <a:ea typeface="Avenir LT Std 65 Medium"/>
              <a:cs typeface="Avenir LT Std 65 Medium"/>
            </a:rPr>
            <a:t>but not the 9% exemption, </a:t>
          </a:r>
          <a:r>
            <a:rPr lang="en-US" cap="none" sz="1000" b="0" i="0" u="none" baseline="0">
              <a:solidFill>
                <a:srgbClr val="000000"/>
              </a:solidFill>
              <a:latin typeface="Avenir LT Std 65 Medium"/>
              <a:ea typeface="Avenir LT Std 65 Medium"/>
              <a:cs typeface="Avenir LT Std 65 Medium"/>
            </a:rPr>
            <a:t>70% is taxed as capital income and 30% is tax free. The highest marginal tax rate is higher for earned income than the 28% applied for capital income</a:t>
          </a:r>
          <a:r>
            <a:rPr lang="en-US" cap="none" sz="1000" b="0" i="0" u="none" baseline="0">
              <a:solidFill>
                <a:srgbClr val="000000"/>
              </a:solidFill>
              <a:latin typeface="Avenir LT Std 65 Medium"/>
              <a:ea typeface="Avenir LT Std 65 Medium"/>
              <a:cs typeface="Avenir LT Std 65 Medium"/>
            </a:rPr>
            <a:t>.</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(e)</a:t>
          </a:r>
          <a:r>
            <a:rPr lang="en-US" cap="none" sz="1000" b="0" i="0" u="none" baseline="0">
              <a:solidFill>
                <a:srgbClr val="000000"/>
              </a:solidFill>
              <a:latin typeface="Avenir LT Std 65 Medium"/>
              <a:ea typeface="Avenir LT Std 65 Medium"/>
              <a:cs typeface="Avenir LT Std 65 Medium"/>
            </a:rPr>
            <a:t> F</a:t>
          </a:r>
          <a:r>
            <a:rPr lang="en-US" cap="none" sz="1000" b="0" i="0" u="none" baseline="0">
              <a:solidFill>
                <a:srgbClr val="000000"/>
              </a:solidFill>
              <a:latin typeface="Avenir LT Std 65 Medium"/>
              <a:ea typeface="Avenir LT Std 65 Medium"/>
              <a:cs typeface="Avenir LT Std 65 Medium"/>
            </a:rPr>
            <a:t>or companies not paying the CSB (contribution sociale sur les bénéfices), the corporate income tax rates are 1.1 percentage points lower. See Table II.1 for more details. Included in the rate in column 6 are the final withholding rate (18 %) and the social contributions (12.1 %) levied on distributed profits (100). The tax payer is supposed to be rational : the final withholding rate is optional but is lower than the taxation resulting from the progressive tax schedule when the tax payer is at the top PIT rate.
</a:t>
          </a:r>
          <a:r>
            <a:rPr lang="en-US" cap="none" sz="1000" b="0" i="0" u="none" baseline="0">
              <a:solidFill>
                <a:srgbClr val="000000"/>
              </a:solidFill>
              <a:latin typeface="Avenir LT Std 65 Medium"/>
              <a:ea typeface="Avenir LT Std 65 Medium"/>
              <a:cs typeface="Avenir LT Std 65 Medium"/>
            </a:rPr>
            <a:t>(f) In 2009 the Personal Income Tax rate was 10% (as it had been for many years) during the first half of 2009, but on 1 July a temporary surtax of 5% on capital incomes was adopted, and thus the top rate was 15% during the second half of 2009. 
</a:t>
          </a:r>
          <a:r>
            <a:rPr lang="en-US" cap="none" sz="1000" b="0" i="0" u="none" baseline="0">
              <a:solidFill>
                <a:srgbClr val="000000"/>
              </a:solidFill>
              <a:latin typeface="Avenir LT Std 65 Medium"/>
              <a:ea typeface="Avenir LT Std 65 Medium"/>
              <a:cs typeface="Avenir LT Std 65 Medium"/>
            </a:rPr>
            <a:t>(g) The top personal income tax rate is 44.9 per cent (43% central tax + 1.9% local tax).
</a:t>
          </a:r>
          <a:r>
            <a:rPr lang="en-US" cap="none" sz="1000" b="0" i="0" u="none" baseline="0">
              <a:solidFill>
                <a:srgbClr val="000000"/>
              </a:solidFill>
              <a:latin typeface="Avenir LT Std 65 Medium"/>
              <a:ea typeface="Avenir LT Std 65 Medium"/>
              <a:cs typeface="Avenir LT Std 65 Medium"/>
            </a:rPr>
            <a:t>(h)</a:t>
          </a:r>
          <a:r>
            <a:rPr lang="en-US" cap="none" sz="1000" b="0" i="0" u="none" baseline="0">
              <a:solidFill>
                <a:srgbClr val="000000"/>
              </a:solidFill>
              <a:latin typeface="Avenir LT Std 65 Medium"/>
              <a:ea typeface="Avenir LT Std 65 Medium"/>
              <a:cs typeface="Avenir LT Std 65 Medium"/>
            </a:rPr>
            <a:t> D</a:t>
          </a:r>
          <a:r>
            <a:rPr lang="en-US" cap="none" sz="1000" b="0" i="0" u="none" baseline="0">
              <a:solidFill>
                <a:srgbClr val="000000"/>
              </a:solidFill>
              <a:latin typeface="Avenir LT Std 65 Medium"/>
              <a:ea typeface="Avenir LT Std 65 Medium"/>
              <a:cs typeface="Avenir LT Std 65 Medium"/>
            </a:rPr>
            <a:t>ividends distributed by listed corporations are withheld at a rate of 20% (10% for dividends distributed during the period between April 2003 and December 2011), and the taxpayer can choose not to include the dividend income in the tax return. On the other hand, if dividends are subject to an aggregate tax (10%-50% ), the Credit for Dividends (to deduct 6.4%-12.8% of dividend income from income tax and local inhabitants tax) is applicable. 
</a:t>
          </a:r>
          <a:r>
            <a:rPr lang="en-US" cap="none" sz="1000" b="0" i="0" u="none" baseline="0">
              <a:solidFill>
                <a:srgbClr val="000000"/>
              </a:solidFill>
              <a:latin typeface="Avenir LT Std 65 Medium"/>
              <a:ea typeface="Avenir LT Std 65 Medium"/>
              <a:cs typeface="Avenir LT Std 65 Medium"/>
            </a:rPr>
            <a:t>(i) For 2009 a rate of 25% is applicable for income from substantial interests. A taxpayer is regarded as having a substantial interest in a company if she/he, either alone or together with his partner, holds, directly or indirectly, at least 5% of the shares of that company. The table does not model the tax burden on distributed dividends when the shareholder does not have a substantial holding in the company. When the shares do not qualify as a substantial interest, a return of 4% is deemed to be received on the value of the underlying 'ordinary' shares and in 2009 (and since 2001), this deemed return is taxed at a rate of 30%. Foreign taxpayers are subject to a final withholding tax on dividends of 25%.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(j) New Zealand has a non-calendar tax year. The rates shown are those in effect as of 1 April.
</a:t>
          </a:r>
          <a:r>
            <a:rPr lang="en-US" cap="none" sz="1000" b="0" i="0" u="none" baseline="0">
              <a:solidFill>
                <a:srgbClr val="000000"/>
              </a:solidFill>
              <a:latin typeface="Avenir LT Std 65 Medium"/>
              <a:ea typeface="Avenir LT Std 65 Medium"/>
              <a:cs typeface="Avenir LT Std 65 Medium"/>
            </a:rPr>
            <a:t>(k) At the shareholder level dividends equal to (or less than) the risk-free market interest rate times the cost price of the share is exempted. (The Shareholder Model). See the Explanatory Annex for more details. 
</a:t>
          </a:r>
          <a:r>
            <a:rPr lang="en-US" cap="none" sz="1000" b="0" i="0" u="none" baseline="0">
              <a:solidFill>
                <a:srgbClr val="000000"/>
              </a:solidFill>
              <a:latin typeface="Avenir LT Std 65 Medium"/>
              <a:ea typeface="Avenir LT Std 65 Medium"/>
              <a:cs typeface="Avenir LT Std 65 Medium"/>
            </a:rPr>
            <a:t>(l) Since 2009, two general tax rates are applied at a Central Government Level. A general tax rate of 12,5% will be applied for the first € 12500 of taxable income and a 25% tax rate will be applied for the remaining amount of taxable income (when the total taxable income exceeds € 12500).
</a:t>
          </a:r>
          <a:r>
            <a:rPr lang="en-US" cap="none" sz="1000" b="0" i="0" u="none" baseline="0">
              <a:solidFill>
                <a:srgbClr val="000000"/>
              </a:solidFill>
              <a:latin typeface="Avenir LT Std 65 Medium"/>
              <a:ea typeface="Avenir LT Std 65 Medium"/>
              <a:cs typeface="Avenir LT Std 65 Medium"/>
            </a:rPr>
            <a:t>(m) As from 1 January 2008, the corporate income tax rate was reduced to 30.0 per cent. Dividends received by individuals are subject to a flat personal income tax rate of 18 per cent. The first EUR 1 000 of dividends are exempted from tax at the shareholder level.</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(n) The corporate income tax rate includes the church tax, while the personal income tax rates excludes it. The data are computed for Zurich (representative town) </a:t>
          </a:r>
          <a:r>
            <a:rPr lang="en-US" cap="none" sz="1000" b="0" i="0" u="none" baseline="0">
              <a:solidFill>
                <a:srgbClr val="000000"/>
              </a:solidFill>
              <a:latin typeface="Avenir LT Std 65 Medium"/>
              <a:ea typeface="Avenir LT Std 65 Medium"/>
              <a:cs typeface="Avenir LT Std 65 Medium"/>
            </a:rPr>
            <a:t>with a MCL system. In Switzerland, a certain number of cantons have a CL system. The federal state changed from CL to MCL as of 1 January 2009.
</a:t>
          </a:r>
          <a:r>
            <a:rPr lang="en-US" cap="none" sz="1000" b="0" i="0" u="none" baseline="0">
              <a:solidFill>
                <a:srgbClr val="000000"/>
              </a:solidFill>
              <a:latin typeface="Avenir LT Std 65 Medium"/>
              <a:ea typeface="Avenir LT Std 65 Medium"/>
              <a:cs typeface="Avenir LT Std 65 Medium"/>
            </a:rPr>
            <a:t>(o) United Kingdom has a non-calendar tax year. The rates shown are those in effect as of 5 April.
</a:t>
          </a:r>
          <a:r>
            <a:rPr lang="en-US" cap="none" sz="1000" b="0" i="0" u="none" baseline="0">
              <a:solidFill>
                <a:srgbClr val="000000"/>
              </a:solidFill>
              <a:latin typeface="Avenir LT Std 65 Medium"/>
              <a:ea typeface="Avenir LT Std 65 Medium"/>
              <a:cs typeface="Avenir LT Std 65 Medium"/>
            </a:rPr>
            <a:t>(p) The PIT rate on (grossed-up) dividend (column 6) is defined as the sum of the maximum federal personal income tax rate on dividends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2013.
</a:t>
          </a:r>
          <a:r>
            <a:rPr lang="en-US" cap="none" sz="1000" b="0" i="0" u="none" baseline="0">
              <a:solidFill>
                <a:srgbClr val="000000"/>
              </a:solidFill>
              <a:latin typeface="Avenir LT Std 65 Medium"/>
              <a:ea typeface="Avenir LT Std 65 Medium"/>
              <a:cs typeface="Avenir LT Std 65 Medium"/>
            </a:rPr>
            <a:t>http://www.oecd.org/tax/tax-policy/Table%20II.4_Nov%202013.xlsx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133350</xdr:rowOff>
    </xdr:from>
    <xdr:to>
      <xdr:col>26</xdr:col>
      <xdr:colOff>0</xdr:colOff>
      <xdr:row>119</xdr:row>
      <xdr:rowOff>85725</xdr:rowOff>
    </xdr:to>
    <xdr:sp>
      <xdr:nvSpPr>
        <xdr:cNvPr id="1" name="Text Box 1"/>
        <xdr:cNvSpPr txBox="1">
          <a:spLocks noChangeArrowheads="1"/>
        </xdr:cNvSpPr>
      </xdr:nvSpPr>
      <xdr:spPr>
        <a:xfrm>
          <a:off x="0" y="7705725"/>
          <a:ext cx="9039225" cy="117729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venir LT Std 65 Medium"/>
              <a:ea typeface="Avenir LT Std 65 Medium"/>
              <a:cs typeface="Avenir LT Std 65 Medium"/>
            </a:rPr>
            <a:t>Key to abbreviations:
</a:t>
          </a:r>
          <a:r>
            <a:rPr lang="en-US" cap="none" sz="1000" b="0" i="0" u="none" baseline="0">
              <a:solidFill>
                <a:srgbClr val="000000"/>
              </a:solidFill>
              <a:latin typeface="Avenir LT Std 65 Medium"/>
              <a:ea typeface="Avenir LT Std 65 Medium"/>
              <a:cs typeface="Avenir LT Std 65 Medium"/>
            </a:rPr>
            <a:t>n.a.: data not provided
</a:t>
          </a:r>
          <a:r>
            <a:rPr lang="en-US" cap="none" sz="1000" b="0" i="0" u="none" baseline="0">
              <a:solidFill>
                <a:srgbClr val="000000"/>
              </a:solidFill>
              <a:latin typeface="Avenir LT Std 65 Medium"/>
              <a:ea typeface="Avenir LT Std 65 Medium"/>
              <a:cs typeface="Avenir LT Std 65 Medium"/>
            </a:rPr>
            <a:t>PIT: Personal Income Tax
</a:t>
          </a:r>
          <a:r>
            <a:rPr lang="en-US" cap="none" sz="1000" b="0" i="0" u="none" baseline="0">
              <a:solidFill>
                <a:srgbClr val="000000"/>
              </a:solidFill>
              <a:latin typeface="Avenir LT Std 65 Medium"/>
              <a:ea typeface="Avenir LT Std 65 Medium"/>
              <a:cs typeface="Avenir LT Std 65 Medium"/>
            </a:rPr>
            <a:t>CIT: Corporate Income Tax
</a:t>
          </a:r>
          <a:r>
            <a:rPr lang="en-US" cap="none" sz="1000" b="0" i="0" u="none" baseline="0">
              <a:solidFill>
                <a:srgbClr val="000000"/>
              </a:solidFill>
              <a:latin typeface="Avenir LT Std 65 Medium"/>
              <a:ea typeface="Avenir LT Std 65 Medium"/>
              <a:cs typeface="Avenir LT Std 65 Medium"/>
            </a:rPr>
            <a:t>dist prof: distributed profit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CL: Classical system (dividend income is taxed at the shareholder level in the same way as other types of capital income (e.g. interest income).
</a:t>
          </a:r>
          <a:r>
            <a:rPr lang="en-US" cap="none" sz="1000" b="0" i="0" u="none" baseline="0">
              <a:solidFill>
                <a:srgbClr val="000000"/>
              </a:solidFill>
              <a:latin typeface="Avenir LT Std 65 Medium"/>
              <a:ea typeface="Avenir LT Std 65 Medium"/>
              <a:cs typeface="Avenir LT Std 65 Medium"/>
            </a:rPr>
            <a:t>MCL: Modified classical system (dividend income taxed at preferantial rates (e.g. compared to interest income) at the shareholder level.
</a:t>
          </a:r>
          <a:r>
            <a:rPr lang="en-US" cap="none" sz="1000" b="0" i="0" u="none" baseline="0">
              <a:solidFill>
                <a:srgbClr val="000000"/>
              </a:solidFill>
              <a:latin typeface="Avenir LT Std 65 Medium"/>
              <a:ea typeface="Avenir LT Std 65 Medium"/>
              <a:cs typeface="Avenir LT Std 65 Medium"/>
            </a:rPr>
            <a:t>FI: Full imputation (dividend tax credit at shareholder level for underlying corporate profits tax)
</a:t>
          </a:r>
          <a:r>
            <a:rPr lang="en-US" cap="none" sz="1000" b="0" i="0" u="none" baseline="0">
              <a:solidFill>
                <a:srgbClr val="000000"/>
              </a:solidFill>
              <a:latin typeface="Avenir LT Std 65 Medium"/>
              <a:ea typeface="Avenir LT Std 65 Medium"/>
              <a:cs typeface="Avenir LT Std 65 Medium"/>
            </a:rPr>
            <a:t>PI: Partial imputation (dividend tax credit at shareholder level for part of underlying corporate profits tax)
</a:t>
          </a:r>
          <a:r>
            <a:rPr lang="en-US" cap="none" sz="1000" b="0" i="0" u="none" baseline="0">
              <a:solidFill>
                <a:srgbClr val="000000"/>
              </a:solidFill>
              <a:latin typeface="Avenir LT Std 65 Medium"/>
              <a:ea typeface="Avenir LT Std 65 Medium"/>
              <a:cs typeface="Avenir LT Std 65 Medium"/>
            </a:rPr>
            <a:t>PIN: Partial inclusion (a part of received dividends is included as taxable income at the shareholder level)
</a:t>
          </a:r>
          <a:r>
            <a:rPr lang="en-US" cap="none" sz="1000" b="0" i="0" u="none" baseline="0">
              <a:solidFill>
                <a:srgbClr val="000000"/>
              </a:solidFill>
              <a:latin typeface="Avenir LT Std 65 Medium"/>
              <a:ea typeface="Avenir LT Std 65 Medium"/>
              <a:cs typeface="Avenir LT Std 65 Medium"/>
            </a:rPr>
            <a:t>SR: Split rate system (distributed dividends are taxed at higher rates than retained earnings at the corporate level)
</a:t>
          </a:r>
          <a:r>
            <a:rPr lang="en-US" cap="none" sz="1000" b="0" i="0" u="none" baseline="0">
              <a:solidFill>
                <a:srgbClr val="000000"/>
              </a:solidFill>
              <a:latin typeface="Avenir LT Std 65 Medium"/>
              <a:ea typeface="Avenir LT Std 65 Medium"/>
              <a:cs typeface="Avenir LT Std 65 Medium"/>
            </a:rPr>
            <a:t>NST: No shareholder taxation of dividends (no other tax than the tax on corporate profits)
</a:t>
          </a:r>
          <a:r>
            <a:rPr lang="en-US" cap="none" sz="1000" b="0" i="0" u="none" baseline="0">
              <a:solidFill>
                <a:srgbClr val="000000"/>
              </a:solidFill>
              <a:latin typeface="Avenir LT Std 65 Medium"/>
              <a:ea typeface="Avenir LT Std 65 Medium"/>
              <a:cs typeface="Avenir LT Std 65 Medium"/>
            </a:rPr>
            <a:t>CD: Corporate deduction (corporate level deduction, fully or partly, in respect of dividend paid)
</a:t>
          </a:r>
          <a:r>
            <a:rPr lang="en-US" cap="none" sz="1000" b="0" i="0" u="none" baseline="0">
              <a:solidFill>
                <a:srgbClr val="000000"/>
              </a:solidFill>
              <a:latin typeface="Avenir LT Std 65 Medium"/>
              <a:ea typeface="Avenir LT Std 65 Medium"/>
              <a:cs typeface="Avenir LT Std 65 Medium"/>
            </a:rPr>
            <a:t>OTH: Other types of systems</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Explanatory notes: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venir LT Std 65 Medium"/>
              <a:ea typeface="Avenir LT Std 65 Medium"/>
              <a:cs typeface="Avenir LT Std 65 Medium"/>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venir LT Std 65 Medium"/>
              <a:ea typeface="Avenir LT Std 65 Medium"/>
              <a:cs typeface="Avenir LT Std 65 Medium"/>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venir LT Std 65 Medium"/>
              <a:ea typeface="Avenir LT Std 65 Medium"/>
              <a:cs typeface="Avenir LT Std 65 Medium"/>
            </a:rPr>
            <a:t>4. The table considers a dividend distribution of 100 units of domestic source profit to a resident individual shareholder.                    
</a:t>
          </a:r>
          <a:r>
            <a:rPr lang="en-US" cap="none" sz="1000" b="0" i="0" u="none" baseline="0">
              <a:solidFill>
                <a:srgbClr val="000000"/>
              </a:solidFill>
              <a:latin typeface="Avenir LT Std 65 Medium"/>
              <a:ea typeface="Avenir LT Std 65 Medium"/>
              <a:cs typeface="Avenir LT Std 65 Medium"/>
            </a:rPr>
            <a:t>5. This column applies where </a:t>
          </a:r>
          <a:r>
            <a:rPr lang="en-US" cap="none" sz="1000" b="0" i="0" u="sng" baseline="0">
              <a:solidFill>
                <a:srgbClr val="000000"/>
              </a:solidFill>
              <a:latin typeface="Avenir LT Std 65 Medium"/>
              <a:ea typeface="Avenir LT Std 65 Medium"/>
              <a:cs typeface="Avenir LT Std 65 Medium"/>
            </a:rPr>
            <a:t>final</a:t>
          </a:r>
          <a:r>
            <a:rPr lang="en-US" cap="none" sz="1000" b="0" i="0" u="none" baseline="0">
              <a:solidFill>
                <a:srgbClr val="000000"/>
              </a:solidFill>
              <a:latin typeface="Avenir LT Std 65 Medium"/>
              <a:ea typeface="Avenir LT Std 65 Medium"/>
              <a:cs typeface="Avenir LT Std 65 Medium"/>
            </a:rPr>
            <a:t> shareholder-level tax is withheld (at a flat rate) by the distributing company, with no further personal taxation. 
</a:t>
          </a:r>
          <a:r>
            <a:rPr lang="en-US" cap="none" sz="1000" b="0" i="0" u="none" baseline="0">
              <a:solidFill>
                <a:srgbClr val="000000"/>
              </a:solidFill>
              <a:latin typeface="Avenir LT Std 65 Medium"/>
              <a:ea typeface="Avenir LT Std 65 Medium"/>
              <a:cs typeface="Avenir LT Std 65 Medium"/>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venir LT Std 65 Medium"/>
              <a:ea typeface="Avenir LT Std 65 Medium"/>
              <a:cs typeface="Avenir LT Std 65 Medium"/>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venir LT Std 65 Medium"/>
              <a:ea typeface="Avenir LT Std 65 Medium"/>
              <a:cs typeface="Avenir LT Std 65 Medium"/>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venir LT Std 65 Medium"/>
              <a:ea typeface="Avenir LT Std 65 Medium"/>
              <a:cs typeface="Avenir LT Std 65 Medium"/>
            </a:rPr>
            <a:t>9. This column shows the imputation/dividend tax credit in respect of the dividend distribution of 100.                    
</a:t>
          </a:r>
          <a:r>
            <a:rPr lang="en-US" cap="none" sz="1000" b="0" i="0" u="none" baseline="0">
              <a:solidFill>
                <a:srgbClr val="000000"/>
              </a:solidFill>
              <a:latin typeface="Avenir LT Std 65 Medium"/>
              <a:ea typeface="Avenir LT Std 65 Medium"/>
              <a:cs typeface="Avenir LT Std 65 Medium"/>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venir LT Std 65 Medium"/>
              <a:ea typeface="Avenir LT Std 65 Medium"/>
              <a:cs typeface="Avenir LT Std 65 Medium"/>
            </a:rPr>
            <a:t>11. This column, reporting the overall (corporate plus personal) tax rate on distributed profit is calculated as ((col.3-col.4+col.10)/col.3)*100      
</a:t>
          </a:r>
          <a:r>
            <a:rPr lang="en-US" cap="none" sz="1000" b="0" i="0" u="none" baseline="0">
              <a:solidFill>
                <a:srgbClr val="000000"/>
              </a:solidFill>
              <a:latin typeface="Avenir LT Std 65 Medium"/>
              <a:ea typeface="Avenir LT Std 65 Medium"/>
              <a:cs typeface="Avenir LT Std 65 Medium"/>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Country-specific footnotes:</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(a) Australia has a non-calendar tax year. The rates shown are those in effect as of 1 July.
</a:t>
          </a:r>
          <a:r>
            <a:rPr lang="en-US" cap="none" sz="1000" b="0" i="0" u="none" baseline="0">
              <a:solidFill>
                <a:srgbClr val="000000"/>
              </a:solidFill>
              <a:latin typeface="Avenir LT Std 65 Medium"/>
              <a:ea typeface="Avenir LT Std 65 Medium"/>
              <a:cs typeface="Avenir LT Std 65 Medium"/>
            </a:rPr>
            <a:t>(b) For shares issued before 1 January 1994 the (withholding) personal income tax rate is 25 per cent. The witholding tax is final, if the shareholder so chooses.
</a:t>
          </a:r>
          <a:r>
            <a:rPr lang="en-US" cap="none" sz="1000" b="0" i="0" u="none" baseline="0">
              <a:solidFill>
                <a:srgbClr val="000000"/>
              </a:solidFill>
              <a:latin typeface="Avenir LT Std 65 Medium"/>
              <a:ea typeface="Avenir LT Std 65 Medium"/>
              <a:cs typeface="Avenir LT Std 65 Medium"/>
            </a:rPr>
            <a:t>The lower the return on equity before tax, the lower the effective tax rate due to the allowance for corporate equity (ACE). E.g. the effective corporate tax rate is only half the nominal (statutory) corporate income tax rate when the return on equity before tax is twice the notional interest rate (4.307% in 2008). 
</a:t>
          </a:r>
          <a:r>
            <a:rPr lang="en-US" cap="none" sz="1000" b="0" i="0" u="none" baseline="0">
              <a:solidFill>
                <a:srgbClr val="000000"/>
              </a:solidFill>
              <a:latin typeface="Avenir LT Std 65 Medium"/>
              <a:ea typeface="Avenir LT Std 65 Medium"/>
              <a:cs typeface="Avenir LT Std 65 Medium"/>
            </a:rPr>
            <a:t>(c) Canada recently announced, effective 2006, a new gross-up and dividend tax credit for dividends distributed by large corporations, which are subject to a higher statutory rate than small businesses.  As a result, Canada will be operating a dual rate gross up and dividend tax credit system.  Rates presented are those applicable to large corporation dividends.
</a:t>
          </a:r>
          <a:r>
            <a:rPr lang="en-US" cap="none" sz="1000" b="0" i="0" u="none" baseline="0">
              <a:solidFill>
                <a:srgbClr val="000000"/>
              </a:solidFill>
              <a:latin typeface="Avenir LT Std 65 Medium"/>
              <a:ea typeface="Avenir LT Std 65 Medium"/>
              <a:cs typeface="Avenir LT Std 65 Medium"/>
            </a:rPr>
            <a:t>(d) Part of the dividends from non-listed companies is taxed as earned income. Since the highest marginal tax rate is higher for earned income than for capital income, the net personal tax in this table would not be zero for such companies. 
</a:t>
          </a:r>
          <a:r>
            <a:rPr lang="en-US" cap="none" sz="1000" b="0" i="0" u="none" baseline="0">
              <a:solidFill>
                <a:srgbClr val="000000"/>
              </a:solidFill>
              <a:latin typeface="Avenir LT Std 65 Medium"/>
              <a:ea typeface="Avenir LT Std 65 Medium"/>
              <a:cs typeface="Avenir LT Std 65 Medium"/>
            </a:rPr>
            <a:t>(e) For companies not paying the CSB (contribution sociale sur les bénéfices), the corporate income tax rates are 1.1 percentage points lower. See Table II.1 for more details. Included in the rate in column 6 are the mandatory levy (18 %) and the social contributions (11 %) levied on distributed profits (100). The tax payer is supposed to be rational  : the final withholding rate is optional but is lower than the taxation resulting from the progressive tax schedule when the tax payer is at the top PIT rate. 
</a:t>
          </a:r>
          <a:r>
            <a:rPr lang="en-US" cap="none" sz="1000" b="0" i="0" u="none" baseline="0">
              <a:solidFill>
                <a:srgbClr val="000000"/>
              </a:solidFill>
              <a:latin typeface="Avenir LT Std 65 Medium"/>
              <a:ea typeface="Avenir LT Std 65 Medium"/>
              <a:cs typeface="Avenir LT Std 65 Medium"/>
            </a:rPr>
            <a:t>(f) Distributed dividends that exceeds a threshold equal to 30 per cent of the value of the share are taxed at the shareholder level at a personal income tax rate of 35%. For dividends below this threshold, the rate is 25%. 
</a:t>
          </a:r>
          <a:r>
            <a:rPr lang="en-US" cap="none" sz="1000" b="0" i="0" u="none" baseline="0">
              <a:solidFill>
                <a:srgbClr val="000000"/>
              </a:solidFill>
              <a:latin typeface="Avenir LT Std 65 Medium"/>
              <a:ea typeface="Avenir LT Std 65 Medium"/>
              <a:cs typeface="Avenir LT Std 65 Medium"/>
            </a:rPr>
            <a:t>(g) The top personal income tax rate is 44.9 per cent (43% central tax + 1.9% local tax).
</a:t>
          </a:r>
          <a:r>
            <a:rPr lang="en-US" cap="none" sz="1000" b="0" i="0" u="none" baseline="0">
              <a:solidFill>
                <a:srgbClr val="000000"/>
              </a:solidFill>
              <a:latin typeface="Avenir LT Std 65 Medium"/>
              <a:ea typeface="Avenir LT Std 65 Medium"/>
              <a:cs typeface="Avenir LT Std 65 Medium"/>
            </a:rPr>
            <a:t>(h) D</a:t>
          </a:r>
          <a:r>
            <a:rPr lang="en-US" cap="none" sz="1000" b="0" i="0" u="none" baseline="0">
              <a:solidFill>
                <a:srgbClr val="000000"/>
              </a:solidFill>
              <a:latin typeface="Avenir LT Std 65 Medium"/>
              <a:ea typeface="Avenir LT Std 65 Medium"/>
              <a:cs typeface="Avenir LT Std 65 Medium"/>
            </a:rPr>
            <a:t>ividends distributed by listed corporations are withheld at a rate of 20% (10% for dividends distributed during the period between April 2003 and December 2009), and the taxpayer can choose not to include the dividend income in the tax return. On the other hand, if dividends are subject to an aggregate tax (10%-50% ), the Credit for Dividends (to deduct 6.4%-12.8% of dividend income from income tax and local inhabitants tax) is applicable. 
</a:t>
          </a:r>
          <a:r>
            <a:rPr lang="en-US" cap="none" sz="1000" b="0" i="0" u="none" baseline="0">
              <a:solidFill>
                <a:srgbClr val="000000"/>
              </a:solidFill>
              <a:latin typeface="Avenir LT Std 65 Medium"/>
              <a:ea typeface="Avenir LT Std 65 Medium"/>
              <a:cs typeface="Avenir LT Std 65 Medium"/>
            </a:rPr>
            <a:t>(i) F</a:t>
          </a:r>
          <a:r>
            <a:rPr lang="en-US" cap="none" sz="1000" b="0" i="0" u="none" baseline="0">
              <a:solidFill>
                <a:srgbClr val="000000"/>
              </a:solidFill>
              <a:latin typeface="Avenir LT Std 65 Medium"/>
              <a:ea typeface="Avenir LT Std 65 Medium"/>
              <a:cs typeface="Avenir LT Std 65 Medium"/>
            </a:rPr>
            <a:t>or 2008 a rate of 25% is applicable for income from substantial interests. A taxpayer is regarded as having a substantial interest in a company if she/he, either alone or together with his partner, holds, directly or indirectly, at least 5% of the shares of that company. The table does not model the tax burden on distributed dividends when the shareholder does not have a substantial holding in the company. When the shares do not qualify as a substantial interest, a return of 4% is deemed to be received on the value of the underlying 'ordinary' shares and in 2008 (and since 2001), this deemed return is taxed at a rate of 30%. </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(j) New Zealand has a non-calendar tax year. The rates shown are those in effect as of 1 April.
</a:t>
          </a:r>
          <a:r>
            <a:rPr lang="en-US" cap="none" sz="1000" b="0" i="0" u="none" baseline="0">
              <a:solidFill>
                <a:srgbClr val="000000"/>
              </a:solidFill>
              <a:latin typeface="Avenir LT Std 65 Medium"/>
              <a:ea typeface="Avenir LT Std 65 Medium"/>
              <a:cs typeface="Avenir LT Std 65 Medium"/>
            </a:rPr>
            <a:t>(k) At the shareholder level dividends equal to (or less than) the risk-free market interest rate times the cost price of the share is exempted. (The Shareholder Model). See the Explanatory Annex for more details.
</a:t>
          </a:r>
          <a:r>
            <a:rPr lang="en-US" cap="none" sz="1000" b="0" i="0" u="none" baseline="0">
              <a:solidFill>
                <a:srgbClr val="000000"/>
              </a:solidFill>
              <a:latin typeface="Avenir LT Std 65 Medium"/>
              <a:ea typeface="Avenir LT Std 65 Medium"/>
              <a:cs typeface="Avenir LT Std 65 Medium"/>
            </a:rPr>
            <a:t>(l) As from 1 January 2008, the corporate income tax rate was reduced to 30.0 per cent. Dividends received by individuals are subject to a flat personal income tax rate of 18 per cent. The first EUR 1000 of dividends are exempted from tax at the shareholder level.</a:t>
          </a:r>
          <a:r>
            <a:rPr lang="en-US" cap="none" sz="1000" b="0" i="0" u="none" baseline="0">
              <a:solidFill>
                <a:srgbClr val="000000"/>
              </a:solidFill>
              <a:latin typeface="Avenir LT Std 65 Medium"/>
              <a:ea typeface="Avenir LT Std 65 Medium"/>
              <a:cs typeface="Avenir LT Std 65 Medium"/>
            </a:rPr>
            <a:t> 
</a:t>
          </a:r>
          <a:r>
            <a:rPr lang="en-US" cap="none" sz="1000" b="0" i="0" u="none" baseline="0">
              <a:solidFill>
                <a:srgbClr val="000000"/>
              </a:solidFill>
              <a:latin typeface="Avenir LT Std 65 Medium"/>
              <a:ea typeface="Avenir LT Std 65 Medium"/>
              <a:cs typeface="Avenir LT Std 65 Medium"/>
            </a:rPr>
            <a:t>(m) The corporate income tax rate includes the church tax, while the personal income tax rates excludes it. The data are computed for Zurich (representative town) with a CL system. In Switzerland, a certain number of cantons have a MCL.
</a:t>
          </a:r>
          <a:r>
            <a:rPr lang="en-US" cap="none" sz="1000" b="0" i="0" u="none" baseline="0">
              <a:solidFill>
                <a:srgbClr val="000000"/>
              </a:solidFill>
              <a:latin typeface="Avenir LT Std 65 Medium"/>
              <a:ea typeface="Avenir LT Std 65 Medium"/>
              <a:cs typeface="Avenir LT Std 65 Medium"/>
            </a:rPr>
            <a:t>(n) United Kingdom has a non-calendar tax year. The rates shown are those in effect as of 5 April.
</a:t>
          </a:r>
          <a:r>
            <a:rPr lang="en-US" cap="none" sz="1000" b="0" i="0" u="none" baseline="0">
              <a:solidFill>
                <a:srgbClr val="000000"/>
              </a:solidFill>
              <a:latin typeface="Avenir LT Std 65 Medium"/>
              <a:ea typeface="Avenir LT Std 65 Medium"/>
              <a:cs typeface="Avenir LT Std 65 Medium"/>
            </a:rPr>
            <a:t>(o) The PIT rate on (grossed-up) dividend (column 6) is defined as the sum of the maximum federal personal income tax rate on dividends plus a weighted average of the state marginal tax rates on dividends.
</a:t>
          </a:r>
          <a:r>
            <a:rPr lang="en-US" cap="none" sz="1000" b="0" i="0" u="none" baseline="0">
              <a:solidFill>
                <a:srgbClr val="000000"/>
              </a:solidFill>
              <a:latin typeface="Avenir LT Std 65 Medium"/>
              <a:ea typeface="Avenir LT Std 65 Medium"/>
              <a:cs typeface="Avenir LT Std 65 Medium"/>
            </a:rPr>
            <a:t>
</a:t>
          </a:r>
          <a:r>
            <a:rPr lang="en-US" cap="none" sz="1000" b="1" i="0" u="none" baseline="0">
              <a:solidFill>
                <a:srgbClr val="000000"/>
              </a:solidFill>
              <a:latin typeface="Avenir LT Std 65 Medium"/>
              <a:ea typeface="Avenir LT Std 65 Medium"/>
              <a:cs typeface="Avenir LT Std 65 Medium"/>
            </a:rPr>
            <a:t>Source: </a:t>
          </a:r>
          <a:r>
            <a:rPr lang="en-US" cap="none" sz="1000" b="0" i="0" u="none" baseline="0">
              <a:solidFill>
                <a:srgbClr val="000000"/>
              </a:solidFill>
              <a:latin typeface="Avenir LT Std 65 Medium"/>
              <a:ea typeface="Avenir LT Std 65 Medium"/>
              <a:cs typeface="Avenir LT Std 65 Medium"/>
            </a:rPr>
            <a:t>OECD Tax Database, Table II.4, 2013.
</a:t>
          </a:r>
          <a:r>
            <a:rPr lang="en-US" cap="none" sz="1000" b="0" i="0" u="none" baseline="0">
              <a:solidFill>
                <a:srgbClr val="000000"/>
              </a:solidFill>
              <a:latin typeface="Avenir LT Std 65 Medium"/>
              <a:ea typeface="Avenir LT Std 65 Medium"/>
              <a:cs typeface="Avenir LT Std 65 Medium"/>
            </a:rPr>
            <a:t>http://www.oecd.org/tax/tax-policy/Table%20II.4_Nov%202013.xlsx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8.vml" /><Relationship Id="rId3"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9.vml" /><Relationship Id="rId3"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O46"/>
  <sheetViews>
    <sheetView showGridLines="0" tabSelected="1" zoomScaleSheetLayoutView="85" zoomScalePageLayoutView="0" workbookViewId="0" topLeftCell="A1">
      <selection activeCell="A3" sqref="A3"/>
    </sheetView>
  </sheetViews>
  <sheetFormatPr defaultColWidth="9.140625" defaultRowHeight="12.75"/>
  <cols>
    <col min="1" max="1" width="16.28125" style="2" customWidth="1"/>
    <col min="2" max="2" width="0.9921875" style="2" customWidth="1"/>
    <col min="3" max="3" width="10.7109375" style="2" customWidth="1"/>
    <col min="4" max="4" width="8.140625" style="2" customWidth="1"/>
    <col min="5" max="5" width="6.7109375" style="2" customWidth="1"/>
    <col min="6" max="6" width="7.140625" style="2" customWidth="1"/>
    <col min="7" max="7" width="7.7109375" style="2" customWidth="1"/>
    <col min="8" max="8" width="12.421875" style="2" customWidth="1"/>
    <col min="9" max="9" width="11.00390625" style="2" customWidth="1"/>
    <col min="10" max="10" width="8.421875" style="2" customWidth="1"/>
    <col min="11" max="11" width="12.421875" style="2" customWidth="1"/>
    <col min="12" max="12" width="8.7109375" style="2" customWidth="1"/>
    <col min="13" max="13" width="7.421875" style="2" customWidth="1"/>
    <col min="14" max="14" width="7.7109375" style="2" customWidth="1"/>
    <col min="15" max="15" width="7.8515625" style="2" customWidth="1"/>
    <col min="16" max="16384" width="9.140625" style="2" customWidth="1"/>
  </cols>
  <sheetData>
    <row r="1" spans="1:12" ht="15">
      <c r="A1" s="1">
        <v>42788</v>
      </c>
      <c r="C1" s="3"/>
      <c r="L1" s="4"/>
    </row>
    <row r="2" spans="1:15" ht="16.5">
      <c r="A2" s="5" t="s">
        <v>135</v>
      </c>
      <c r="B2" s="6"/>
      <c r="C2" s="6"/>
      <c r="D2" s="6"/>
      <c r="E2" s="6"/>
      <c r="F2" s="6"/>
      <c r="G2" s="6"/>
      <c r="H2" s="6"/>
      <c r="I2" s="6"/>
      <c r="J2" s="6"/>
      <c r="K2" s="6"/>
      <c r="L2" s="6"/>
      <c r="M2" s="6"/>
      <c r="N2" s="6"/>
      <c r="O2" s="6"/>
    </row>
    <row r="3" spans="1:15" ht="15.75" thickBot="1">
      <c r="A3" s="7"/>
      <c r="B3" s="7"/>
      <c r="C3" s="7"/>
      <c r="D3" s="7"/>
      <c r="E3" s="7"/>
      <c r="F3" s="7"/>
      <c r="G3" s="7"/>
      <c r="H3" s="7"/>
      <c r="I3" s="7"/>
      <c r="J3" s="7"/>
      <c r="K3" s="7"/>
      <c r="L3" s="7"/>
      <c r="M3" s="7"/>
      <c r="N3" s="7"/>
      <c r="O3" s="7"/>
    </row>
    <row r="4" ht="15">
      <c r="L4" s="4"/>
    </row>
    <row r="5" spans="1:15" ht="15">
      <c r="A5" s="9"/>
      <c r="B5" s="9"/>
      <c r="C5" s="51" t="s">
        <v>0</v>
      </c>
      <c r="D5" s="51" t="s">
        <v>46</v>
      </c>
      <c r="E5" s="51" t="s">
        <v>47</v>
      </c>
      <c r="F5" s="51" t="s">
        <v>48</v>
      </c>
      <c r="G5" s="51" t="s">
        <v>78</v>
      </c>
      <c r="H5" s="51" t="s">
        <v>50</v>
      </c>
      <c r="I5" s="51" t="s">
        <v>51</v>
      </c>
      <c r="J5" s="51" t="s">
        <v>52</v>
      </c>
      <c r="K5" s="51" t="s">
        <v>53</v>
      </c>
      <c r="L5" s="51" t="s">
        <v>54</v>
      </c>
      <c r="M5" s="51" t="s">
        <v>55</v>
      </c>
      <c r="N5" s="51" t="s">
        <v>56</v>
      </c>
      <c r="O5" s="51" t="s">
        <v>57</v>
      </c>
    </row>
    <row r="6" spans="1:15" ht="15">
      <c r="A6" s="12"/>
      <c r="B6" s="9"/>
      <c r="C6" s="52"/>
      <c r="D6" s="52"/>
      <c r="E6" s="52"/>
      <c r="F6" s="52"/>
      <c r="G6" s="52"/>
      <c r="H6" s="52"/>
      <c r="I6" s="52"/>
      <c r="J6" s="52"/>
      <c r="K6" s="52"/>
      <c r="L6" s="52"/>
      <c r="M6" s="52"/>
      <c r="N6" s="52"/>
      <c r="O6" s="52"/>
    </row>
    <row r="7" spans="1:15" ht="15">
      <c r="A7" s="14"/>
      <c r="B7" s="9"/>
      <c r="C7" s="52"/>
      <c r="D7" s="52"/>
      <c r="E7" s="52"/>
      <c r="F7" s="52"/>
      <c r="G7" s="52"/>
      <c r="H7" s="52"/>
      <c r="I7" s="52"/>
      <c r="J7" s="52"/>
      <c r="K7" s="52"/>
      <c r="L7" s="52"/>
      <c r="M7" s="52"/>
      <c r="N7" s="52"/>
      <c r="O7" s="52"/>
    </row>
    <row r="8" spans="1:15" ht="15">
      <c r="A8" s="14" t="s">
        <v>1</v>
      </c>
      <c r="B8" s="9"/>
      <c r="C8" s="52"/>
      <c r="D8" s="52"/>
      <c r="E8" s="52"/>
      <c r="F8" s="52"/>
      <c r="G8" s="52"/>
      <c r="H8" s="52"/>
      <c r="I8" s="52"/>
      <c r="J8" s="52"/>
      <c r="K8" s="52"/>
      <c r="L8" s="52"/>
      <c r="M8" s="52"/>
      <c r="N8" s="52"/>
      <c r="O8" s="52"/>
    </row>
    <row r="9" spans="1:15" ht="15">
      <c r="A9" s="15"/>
      <c r="B9" s="15"/>
      <c r="C9" s="16"/>
      <c r="D9" s="16"/>
      <c r="E9" s="16"/>
      <c r="F9" s="16"/>
      <c r="G9" s="16"/>
      <c r="H9" s="16"/>
      <c r="I9" s="18"/>
      <c r="J9" s="18"/>
      <c r="K9" s="18"/>
      <c r="L9" s="15"/>
      <c r="M9" s="16"/>
      <c r="N9" s="16"/>
      <c r="O9" s="16"/>
    </row>
    <row r="10" ht="15">
      <c r="L10" s="4"/>
    </row>
    <row r="11" spans="1:15" ht="16.5">
      <c r="A11" s="34" t="s">
        <v>58</v>
      </c>
      <c r="B11" s="35"/>
      <c r="C11" s="36" t="s">
        <v>2</v>
      </c>
      <c r="D11" s="35">
        <v>30</v>
      </c>
      <c r="E11" s="35">
        <v>142.857</v>
      </c>
      <c r="F11" s="37">
        <v>100</v>
      </c>
      <c r="G11" s="35" t="s">
        <v>133</v>
      </c>
      <c r="H11" s="35">
        <v>49</v>
      </c>
      <c r="I11" s="35">
        <v>142.9</v>
      </c>
      <c r="J11" s="35">
        <v>30</v>
      </c>
      <c r="K11" s="35">
        <v>42.9</v>
      </c>
      <c r="L11" s="35">
        <v>27.121</v>
      </c>
      <c r="M11" s="38">
        <v>48.985</v>
      </c>
      <c r="N11" s="35">
        <v>61.244</v>
      </c>
      <c r="O11" s="35">
        <v>38.756</v>
      </c>
    </row>
    <row r="12" spans="1:15" ht="15">
      <c r="A12" s="12" t="s">
        <v>3</v>
      </c>
      <c r="C12" s="39" t="s">
        <v>4</v>
      </c>
      <c r="D12" s="40">
        <v>25</v>
      </c>
      <c r="E12" s="40">
        <v>133.333</v>
      </c>
      <c r="F12" s="41">
        <v>100</v>
      </c>
      <c r="G12" s="40">
        <v>25</v>
      </c>
      <c r="H12" s="38">
        <v>25</v>
      </c>
      <c r="I12" s="40" t="s">
        <v>133</v>
      </c>
      <c r="J12" s="40" t="s">
        <v>133</v>
      </c>
      <c r="K12" s="40" t="s">
        <v>133</v>
      </c>
      <c r="L12" s="38">
        <v>25</v>
      </c>
      <c r="M12" s="38">
        <v>43.75</v>
      </c>
      <c r="N12" s="38">
        <v>57.143</v>
      </c>
      <c r="O12" s="38">
        <v>42.857</v>
      </c>
    </row>
    <row r="13" spans="1:15" ht="16.5">
      <c r="A13" s="12" t="s">
        <v>59</v>
      </c>
      <c r="B13" s="48"/>
      <c r="C13" s="39" t="s">
        <v>4</v>
      </c>
      <c r="D13" s="40">
        <v>33.99</v>
      </c>
      <c r="E13" s="40">
        <v>151.492</v>
      </c>
      <c r="F13" s="41">
        <v>100</v>
      </c>
      <c r="G13" s="40" t="s">
        <v>133</v>
      </c>
      <c r="H13" s="38">
        <v>27</v>
      </c>
      <c r="I13" s="40" t="s">
        <v>133</v>
      </c>
      <c r="J13" s="40" t="s">
        <v>133</v>
      </c>
      <c r="K13" s="40" t="s">
        <v>133</v>
      </c>
      <c r="L13" s="38">
        <v>27</v>
      </c>
      <c r="M13" s="38">
        <v>51.813</v>
      </c>
      <c r="N13" s="38">
        <v>65.602</v>
      </c>
      <c r="O13" s="38">
        <v>34.398</v>
      </c>
    </row>
    <row r="14" spans="1:15" ht="16.5">
      <c r="A14" s="42" t="s">
        <v>87</v>
      </c>
      <c r="B14" s="49"/>
      <c r="C14" s="39" t="s">
        <v>2</v>
      </c>
      <c r="D14" s="40">
        <v>26.8</v>
      </c>
      <c r="E14" s="40">
        <v>136.425648022</v>
      </c>
      <c r="F14" s="41">
        <v>100</v>
      </c>
      <c r="G14" s="40" t="s">
        <v>133</v>
      </c>
      <c r="H14" s="38">
        <v>53.5296</v>
      </c>
      <c r="I14" s="40">
        <v>138</v>
      </c>
      <c r="J14" s="40">
        <v>25.0198</v>
      </c>
      <c r="K14" s="40">
        <v>34.527324</v>
      </c>
      <c r="L14" s="38">
        <v>39.343524</v>
      </c>
      <c r="M14" s="38">
        <v>55.538803092</v>
      </c>
      <c r="N14" s="38">
        <v>48.074496593</v>
      </c>
      <c r="O14" s="38">
        <v>51.925503407</v>
      </c>
    </row>
    <row r="15" spans="1:15" ht="16.5">
      <c r="A15" s="12" t="s">
        <v>41</v>
      </c>
      <c r="B15" s="49"/>
      <c r="C15" s="39" t="s">
        <v>2</v>
      </c>
      <c r="D15" s="40">
        <v>24</v>
      </c>
      <c r="E15" s="40">
        <v>131.579</v>
      </c>
      <c r="F15" s="41">
        <v>100</v>
      </c>
      <c r="G15" s="40" t="s">
        <v>133</v>
      </c>
      <c r="H15" s="38">
        <v>40</v>
      </c>
      <c r="I15" s="40">
        <v>131.579</v>
      </c>
      <c r="J15" s="40">
        <v>24</v>
      </c>
      <c r="K15" s="40">
        <v>31.579</v>
      </c>
      <c r="L15" s="38">
        <v>21.053</v>
      </c>
      <c r="M15" s="38">
        <v>40</v>
      </c>
      <c r="N15" s="38">
        <v>60</v>
      </c>
      <c r="O15" s="38">
        <v>40</v>
      </c>
    </row>
    <row r="16" spans="1:15" ht="16.5">
      <c r="A16" s="42" t="s">
        <v>7</v>
      </c>
      <c r="B16" s="49"/>
      <c r="C16" s="39" t="s">
        <v>4</v>
      </c>
      <c r="D16" s="40">
        <v>19</v>
      </c>
      <c r="E16" s="40">
        <v>123.457</v>
      </c>
      <c r="F16" s="41">
        <v>100</v>
      </c>
      <c r="G16" s="40">
        <v>15</v>
      </c>
      <c r="H16" s="38">
        <v>15</v>
      </c>
      <c r="I16" s="40" t="s">
        <v>133</v>
      </c>
      <c r="J16" s="40" t="s">
        <v>133</v>
      </c>
      <c r="K16" s="40" t="s">
        <v>133</v>
      </c>
      <c r="L16" s="38">
        <v>15</v>
      </c>
      <c r="M16" s="38">
        <v>31.15</v>
      </c>
      <c r="N16" s="38">
        <v>60.995</v>
      </c>
      <c r="O16" s="38">
        <v>39.005</v>
      </c>
    </row>
    <row r="17" spans="1:15" ht="16.5">
      <c r="A17" s="42" t="s">
        <v>8</v>
      </c>
      <c r="B17" s="49"/>
      <c r="C17" s="39" t="s">
        <v>29</v>
      </c>
      <c r="D17" s="40">
        <v>22</v>
      </c>
      <c r="E17" s="40">
        <v>128.205</v>
      </c>
      <c r="F17" s="41">
        <v>100</v>
      </c>
      <c r="G17" s="40" t="s">
        <v>133</v>
      </c>
      <c r="H17" s="38">
        <v>42</v>
      </c>
      <c r="I17" s="40" t="s">
        <v>133</v>
      </c>
      <c r="J17" s="40" t="s">
        <v>133</v>
      </c>
      <c r="K17" s="40" t="s">
        <v>133</v>
      </c>
      <c r="L17" s="38">
        <v>42</v>
      </c>
      <c r="M17" s="38">
        <v>54.76</v>
      </c>
      <c r="N17" s="38">
        <v>40.175</v>
      </c>
      <c r="O17" s="38">
        <v>59.825</v>
      </c>
    </row>
    <row r="18" spans="1:15" ht="16.5">
      <c r="A18" s="34" t="s">
        <v>44</v>
      </c>
      <c r="B18" s="50"/>
      <c r="C18" s="36" t="s">
        <v>30</v>
      </c>
      <c r="D18" s="35">
        <v>20</v>
      </c>
      <c r="E18" s="35">
        <v>125</v>
      </c>
      <c r="F18" s="37">
        <v>100</v>
      </c>
      <c r="G18" s="35" t="s">
        <v>133</v>
      </c>
      <c r="H18" s="43">
        <v>0</v>
      </c>
      <c r="I18" s="35" t="s">
        <v>133</v>
      </c>
      <c r="J18" s="35" t="s">
        <v>133</v>
      </c>
      <c r="K18" s="35" t="s">
        <v>133</v>
      </c>
      <c r="L18" s="43">
        <v>0</v>
      </c>
      <c r="M18" s="43">
        <v>20</v>
      </c>
      <c r="N18" s="44">
        <v>100</v>
      </c>
      <c r="O18" s="43">
        <v>0</v>
      </c>
    </row>
    <row r="19" spans="1:15" ht="16.5">
      <c r="A19" s="12" t="s">
        <v>88</v>
      </c>
      <c r="B19" s="49"/>
      <c r="C19" s="39" t="s">
        <v>25</v>
      </c>
      <c r="D19" s="40">
        <v>20</v>
      </c>
      <c r="E19" s="40">
        <v>125</v>
      </c>
      <c r="F19" s="41">
        <v>100</v>
      </c>
      <c r="G19" s="40" t="s">
        <v>133</v>
      </c>
      <c r="H19" s="38">
        <v>34</v>
      </c>
      <c r="I19" s="40" t="s">
        <v>133</v>
      </c>
      <c r="J19" s="40" t="s">
        <v>133</v>
      </c>
      <c r="K19" s="40" t="s">
        <v>133</v>
      </c>
      <c r="L19" s="38">
        <v>28.9</v>
      </c>
      <c r="M19" s="38">
        <v>43.12</v>
      </c>
      <c r="N19" s="38">
        <v>46.382</v>
      </c>
      <c r="O19" s="38">
        <v>53.618</v>
      </c>
    </row>
    <row r="20" spans="1:15" ht="16.5">
      <c r="A20" s="42" t="s">
        <v>89</v>
      </c>
      <c r="B20" s="49"/>
      <c r="C20" s="39" t="s">
        <v>25</v>
      </c>
      <c r="D20" s="40">
        <v>36.397</v>
      </c>
      <c r="E20" s="40">
        <v>157.226</v>
      </c>
      <c r="F20" s="41">
        <v>100</v>
      </c>
      <c r="G20" s="40" t="s">
        <v>133</v>
      </c>
      <c r="H20" s="38">
        <v>44.001</v>
      </c>
      <c r="I20" s="40" t="s">
        <v>133</v>
      </c>
      <c r="J20" s="40" t="s">
        <v>133</v>
      </c>
      <c r="K20" s="40" t="s">
        <v>133</v>
      </c>
      <c r="L20" s="38">
        <v>44.001</v>
      </c>
      <c r="M20" s="38">
        <v>64.383</v>
      </c>
      <c r="N20" s="38">
        <v>56.532</v>
      </c>
      <c r="O20" s="38">
        <v>43.468</v>
      </c>
    </row>
    <row r="21" spans="1:15" ht="16.5">
      <c r="A21" s="12" t="s">
        <v>9</v>
      </c>
      <c r="B21" s="49"/>
      <c r="C21" s="39" t="s">
        <v>4</v>
      </c>
      <c r="D21" s="40">
        <v>30.175</v>
      </c>
      <c r="E21" s="40">
        <v>143.215</v>
      </c>
      <c r="F21" s="41">
        <v>100</v>
      </c>
      <c r="G21" s="40">
        <v>26.375</v>
      </c>
      <c r="H21" s="38">
        <v>26.375</v>
      </c>
      <c r="I21" s="40" t="s">
        <v>133</v>
      </c>
      <c r="J21" s="40" t="s">
        <v>133</v>
      </c>
      <c r="K21" s="40" t="s">
        <v>133</v>
      </c>
      <c r="L21" s="38">
        <v>26.375</v>
      </c>
      <c r="M21" s="38">
        <v>48.591</v>
      </c>
      <c r="N21" s="38">
        <v>62.1</v>
      </c>
      <c r="O21" s="38">
        <v>37.9</v>
      </c>
    </row>
    <row r="22" spans="1:15" ht="16.5">
      <c r="A22" s="34" t="s">
        <v>119</v>
      </c>
      <c r="B22" s="50"/>
      <c r="C22" s="36" t="s">
        <v>29</v>
      </c>
      <c r="D22" s="35">
        <v>29</v>
      </c>
      <c r="E22" s="35">
        <v>140.845</v>
      </c>
      <c r="F22" s="37">
        <v>100</v>
      </c>
      <c r="G22" s="35">
        <v>10</v>
      </c>
      <c r="H22" s="35">
        <v>10</v>
      </c>
      <c r="I22" s="35" t="s">
        <v>133</v>
      </c>
      <c r="J22" s="35" t="s">
        <v>133</v>
      </c>
      <c r="K22" s="35" t="s">
        <v>133</v>
      </c>
      <c r="L22" s="35">
        <v>10</v>
      </c>
      <c r="M22" s="35">
        <v>36.1</v>
      </c>
      <c r="N22" s="35">
        <v>80.332</v>
      </c>
      <c r="O22" s="35">
        <v>19.668</v>
      </c>
    </row>
    <row r="23" spans="1:15" ht="16.5">
      <c r="A23" s="12" t="s">
        <v>37</v>
      </c>
      <c r="B23" s="48"/>
      <c r="C23" s="39" t="s">
        <v>27</v>
      </c>
      <c r="D23" s="40">
        <v>19</v>
      </c>
      <c r="E23" s="40">
        <v>123.457</v>
      </c>
      <c r="F23" s="41">
        <v>100</v>
      </c>
      <c r="G23" s="40" t="s">
        <v>133</v>
      </c>
      <c r="H23" s="38">
        <v>15</v>
      </c>
      <c r="I23" s="40" t="s">
        <v>133</v>
      </c>
      <c r="J23" s="40" t="s">
        <v>133</v>
      </c>
      <c r="K23" s="40" t="s">
        <v>133</v>
      </c>
      <c r="L23" s="38">
        <v>15</v>
      </c>
      <c r="M23" s="38">
        <v>31.15</v>
      </c>
      <c r="N23" s="38">
        <v>60.995</v>
      </c>
      <c r="O23" s="38">
        <v>39.005</v>
      </c>
    </row>
    <row r="24" spans="1:15" ht="16.5">
      <c r="A24" s="34" t="s">
        <v>120</v>
      </c>
      <c r="B24" s="50"/>
      <c r="C24" s="36" t="s">
        <v>4</v>
      </c>
      <c r="D24" s="35">
        <v>20</v>
      </c>
      <c r="E24" s="35">
        <v>125</v>
      </c>
      <c r="F24" s="37">
        <v>100</v>
      </c>
      <c r="G24" s="35" t="s">
        <v>133</v>
      </c>
      <c r="H24" s="35">
        <v>20</v>
      </c>
      <c r="I24" s="35" t="s">
        <v>133</v>
      </c>
      <c r="J24" s="35" t="s">
        <v>133</v>
      </c>
      <c r="K24" s="35" t="s">
        <v>133</v>
      </c>
      <c r="L24" s="35">
        <v>20</v>
      </c>
      <c r="M24" s="35">
        <v>36</v>
      </c>
      <c r="N24" s="35">
        <v>55.556</v>
      </c>
      <c r="O24" s="35">
        <v>44.444</v>
      </c>
    </row>
    <row r="25" spans="1:15" ht="16.5">
      <c r="A25" s="42" t="s">
        <v>12</v>
      </c>
      <c r="B25" s="49"/>
      <c r="C25" s="39" t="s">
        <v>4</v>
      </c>
      <c r="D25" s="40">
        <v>12.5</v>
      </c>
      <c r="E25" s="40">
        <v>114.286</v>
      </c>
      <c r="F25" s="41">
        <v>100</v>
      </c>
      <c r="G25" s="40" t="s">
        <v>133</v>
      </c>
      <c r="H25" s="38">
        <v>51</v>
      </c>
      <c r="I25" s="40" t="s">
        <v>133</v>
      </c>
      <c r="J25" s="40" t="s">
        <v>133</v>
      </c>
      <c r="K25" s="40" t="s">
        <v>133</v>
      </c>
      <c r="L25" s="38">
        <v>51</v>
      </c>
      <c r="M25" s="38">
        <v>57.125</v>
      </c>
      <c r="N25" s="38">
        <v>21.882</v>
      </c>
      <c r="O25" s="38">
        <v>78.118</v>
      </c>
    </row>
    <row r="26" spans="1:15" ht="16.5">
      <c r="A26" s="42" t="s">
        <v>43</v>
      </c>
      <c r="B26" s="49"/>
      <c r="C26" s="39" t="s">
        <v>4</v>
      </c>
      <c r="D26" s="40">
        <v>25</v>
      </c>
      <c r="E26" s="40">
        <v>133.333</v>
      </c>
      <c r="F26" s="41">
        <v>100</v>
      </c>
      <c r="G26" s="40" t="s">
        <v>133</v>
      </c>
      <c r="H26" s="38">
        <v>32</v>
      </c>
      <c r="I26" s="40" t="s">
        <v>133</v>
      </c>
      <c r="J26" s="40" t="s">
        <v>133</v>
      </c>
      <c r="K26" s="40" t="s">
        <v>133</v>
      </c>
      <c r="L26" s="38">
        <v>32</v>
      </c>
      <c r="M26" s="38">
        <v>49</v>
      </c>
      <c r="N26" s="38">
        <v>51.02</v>
      </c>
      <c r="O26" s="38">
        <v>48.98</v>
      </c>
    </row>
    <row r="27" spans="1:15" ht="16.5">
      <c r="A27" s="42" t="s">
        <v>121</v>
      </c>
      <c r="B27" s="49"/>
      <c r="C27" s="39" t="s">
        <v>38</v>
      </c>
      <c r="D27" s="40">
        <v>27.5</v>
      </c>
      <c r="E27" s="40">
        <v>137.931</v>
      </c>
      <c r="F27" s="41">
        <v>100</v>
      </c>
      <c r="G27" s="40">
        <v>26</v>
      </c>
      <c r="H27" s="38">
        <v>26</v>
      </c>
      <c r="I27" s="40" t="s">
        <v>133</v>
      </c>
      <c r="J27" s="40" t="s">
        <v>133</v>
      </c>
      <c r="K27" s="40" t="s">
        <v>133</v>
      </c>
      <c r="L27" s="38">
        <v>26</v>
      </c>
      <c r="M27" s="38">
        <v>46.35</v>
      </c>
      <c r="N27" s="38">
        <v>59.331</v>
      </c>
      <c r="O27" s="38">
        <v>40.669</v>
      </c>
    </row>
    <row r="28" spans="1:15" s="47" customFormat="1" ht="13.5" customHeight="1">
      <c r="A28" s="42" t="s">
        <v>122</v>
      </c>
      <c r="B28" s="49"/>
      <c r="C28" s="39" t="s">
        <v>29</v>
      </c>
      <c r="D28" s="40">
        <v>29.97</v>
      </c>
      <c r="E28" s="40">
        <v>142.8</v>
      </c>
      <c r="F28" s="41">
        <v>100</v>
      </c>
      <c r="G28" s="40">
        <v>20.32</v>
      </c>
      <c r="H28" s="38">
        <v>20.32</v>
      </c>
      <c r="I28" s="40" t="s">
        <v>133</v>
      </c>
      <c r="J28" s="40" t="s">
        <v>133</v>
      </c>
      <c r="K28" s="40" t="s">
        <v>133</v>
      </c>
      <c r="L28" s="38">
        <v>20.32</v>
      </c>
      <c r="M28" s="38">
        <v>44.2</v>
      </c>
      <c r="N28" s="38">
        <v>67.81</v>
      </c>
      <c r="O28" s="38">
        <v>32.19</v>
      </c>
    </row>
    <row r="29" spans="1:15" ht="16.5">
      <c r="A29" s="42" t="s">
        <v>15</v>
      </c>
      <c r="B29" s="49"/>
      <c r="C29" s="39" t="s">
        <v>6</v>
      </c>
      <c r="D29" s="40">
        <v>24.2</v>
      </c>
      <c r="E29" s="40">
        <v>131.926</v>
      </c>
      <c r="F29" s="41">
        <v>100</v>
      </c>
      <c r="G29" s="40" t="s">
        <v>133</v>
      </c>
      <c r="H29" s="38">
        <v>41.8</v>
      </c>
      <c r="I29" s="40">
        <v>111</v>
      </c>
      <c r="J29" s="40">
        <v>9.91</v>
      </c>
      <c r="K29" s="40">
        <v>11</v>
      </c>
      <c r="L29" s="38">
        <v>35.398</v>
      </c>
      <c r="M29" s="38">
        <v>51.032</v>
      </c>
      <c r="N29" s="38">
        <v>47.422</v>
      </c>
      <c r="O29" s="38">
        <v>52.578</v>
      </c>
    </row>
    <row r="30" spans="1:15" ht="16.5">
      <c r="A30" s="42" t="s">
        <v>134</v>
      </c>
      <c r="B30" s="49"/>
      <c r="C30" s="39" t="s">
        <v>4</v>
      </c>
      <c r="D30" s="40">
        <v>15</v>
      </c>
      <c r="E30" s="40">
        <v>117.647</v>
      </c>
      <c r="F30" s="41">
        <v>100</v>
      </c>
      <c r="G30" s="40" t="s">
        <v>133</v>
      </c>
      <c r="H30" s="38">
        <v>10</v>
      </c>
      <c r="I30" s="40" t="s">
        <v>133</v>
      </c>
      <c r="J30" s="40" t="s">
        <v>133</v>
      </c>
      <c r="K30" s="40" t="s">
        <v>133</v>
      </c>
      <c r="L30" s="38">
        <v>10</v>
      </c>
      <c r="M30" s="38">
        <v>23.5</v>
      </c>
      <c r="N30" s="38">
        <v>63.83</v>
      </c>
      <c r="O30" s="38">
        <v>36.17</v>
      </c>
    </row>
    <row r="31" spans="1:15" ht="16.5">
      <c r="A31" s="42" t="s">
        <v>16</v>
      </c>
      <c r="B31" s="49"/>
      <c r="C31" s="39" t="s">
        <v>25</v>
      </c>
      <c r="D31" s="40">
        <v>29.22</v>
      </c>
      <c r="E31" s="40">
        <v>141.283</v>
      </c>
      <c r="F31" s="41">
        <v>100</v>
      </c>
      <c r="G31" s="40" t="s">
        <v>133</v>
      </c>
      <c r="H31" s="38">
        <v>40</v>
      </c>
      <c r="I31" s="40" t="s">
        <v>133</v>
      </c>
      <c r="J31" s="40" t="s">
        <v>133</v>
      </c>
      <c r="K31" s="40" t="s">
        <v>133</v>
      </c>
      <c r="L31" s="38">
        <v>20</v>
      </c>
      <c r="M31" s="38">
        <v>43.376</v>
      </c>
      <c r="N31" s="38">
        <v>67.364</v>
      </c>
      <c r="O31" s="38">
        <v>32.636</v>
      </c>
    </row>
    <row r="32" spans="1:15" ht="16.5">
      <c r="A32" s="42" t="s">
        <v>35</v>
      </c>
      <c r="B32" s="49"/>
      <c r="C32" s="39" t="s">
        <v>2</v>
      </c>
      <c r="D32" s="40">
        <v>30</v>
      </c>
      <c r="E32" s="40">
        <v>142.857</v>
      </c>
      <c r="F32" s="41">
        <v>100</v>
      </c>
      <c r="G32" s="40">
        <v>10</v>
      </c>
      <c r="H32" s="38">
        <v>42</v>
      </c>
      <c r="I32" s="40">
        <v>142.857</v>
      </c>
      <c r="J32" s="40">
        <v>30</v>
      </c>
      <c r="K32" s="40">
        <v>42.857</v>
      </c>
      <c r="L32" s="38">
        <v>17.143</v>
      </c>
      <c r="M32" s="38">
        <v>42</v>
      </c>
      <c r="N32" s="38">
        <v>71.429</v>
      </c>
      <c r="O32" s="38">
        <v>28.571</v>
      </c>
    </row>
    <row r="33" spans="1:15" ht="16.5">
      <c r="A33" s="42" t="s">
        <v>123</v>
      </c>
      <c r="B33" s="49"/>
      <c r="C33" s="39" t="s">
        <v>4</v>
      </c>
      <c r="D33" s="40">
        <v>25</v>
      </c>
      <c r="E33" s="40">
        <v>133.333</v>
      </c>
      <c r="F33" s="41">
        <v>100</v>
      </c>
      <c r="G33" s="40" t="s">
        <v>133</v>
      </c>
      <c r="H33" s="38">
        <v>25</v>
      </c>
      <c r="I33" s="40" t="s">
        <v>133</v>
      </c>
      <c r="J33" s="40" t="s">
        <v>133</v>
      </c>
      <c r="K33" s="40" t="s">
        <v>133</v>
      </c>
      <c r="L33" s="38">
        <v>25</v>
      </c>
      <c r="M33" s="38">
        <v>43.75</v>
      </c>
      <c r="N33" s="38">
        <v>57.143</v>
      </c>
      <c r="O33" s="38">
        <v>42.857</v>
      </c>
    </row>
    <row r="34" spans="1:15" ht="16.5">
      <c r="A34" s="42" t="s">
        <v>124</v>
      </c>
      <c r="B34" s="49"/>
      <c r="C34" s="39" t="s">
        <v>2</v>
      </c>
      <c r="D34" s="40">
        <v>28</v>
      </c>
      <c r="E34" s="40">
        <v>138.889</v>
      </c>
      <c r="F34" s="41">
        <v>100</v>
      </c>
      <c r="G34" s="40" t="s">
        <v>133</v>
      </c>
      <c r="H34" s="38">
        <v>33</v>
      </c>
      <c r="I34" s="40">
        <v>138.889</v>
      </c>
      <c r="J34" s="40">
        <v>28</v>
      </c>
      <c r="K34" s="40">
        <v>38.889</v>
      </c>
      <c r="L34" s="38">
        <v>6.944</v>
      </c>
      <c r="M34" s="38">
        <v>33</v>
      </c>
      <c r="N34" s="38">
        <v>84.848</v>
      </c>
      <c r="O34" s="38">
        <v>15.152</v>
      </c>
    </row>
    <row r="35" spans="1:15" ht="16.5">
      <c r="A35" s="42" t="s">
        <v>125</v>
      </c>
      <c r="B35" s="49"/>
      <c r="C35" s="39" t="s">
        <v>27</v>
      </c>
      <c r="D35" s="40">
        <v>25</v>
      </c>
      <c r="E35" s="40">
        <v>133.333</v>
      </c>
      <c r="F35" s="41">
        <v>100</v>
      </c>
      <c r="G35" s="40" t="s">
        <v>133</v>
      </c>
      <c r="H35" s="38">
        <v>28.75</v>
      </c>
      <c r="I35" s="40" t="s">
        <v>133</v>
      </c>
      <c r="J35" s="40" t="s">
        <v>133</v>
      </c>
      <c r="K35" s="40" t="s">
        <v>133</v>
      </c>
      <c r="L35" s="38">
        <v>28.75</v>
      </c>
      <c r="M35" s="38">
        <v>46.563</v>
      </c>
      <c r="N35" s="38">
        <v>53.691</v>
      </c>
      <c r="O35" s="38">
        <v>46.309</v>
      </c>
    </row>
    <row r="36" spans="1:15" ht="16.5">
      <c r="A36" s="42" t="s">
        <v>36</v>
      </c>
      <c r="B36" s="49"/>
      <c r="C36" s="39" t="s">
        <v>29</v>
      </c>
      <c r="D36" s="40">
        <v>19</v>
      </c>
      <c r="E36" s="40">
        <v>123.457</v>
      </c>
      <c r="F36" s="41">
        <v>100</v>
      </c>
      <c r="G36" s="40">
        <v>19</v>
      </c>
      <c r="H36" s="38">
        <v>19</v>
      </c>
      <c r="I36" s="40" t="s">
        <v>133</v>
      </c>
      <c r="J36" s="40" t="s">
        <v>133</v>
      </c>
      <c r="K36" s="40" t="s">
        <v>133</v>
      </c>
      <c r="L36" s="38">
        <v>19</v>
      </c>
      <c r="M36" s="38">
        <v>34.39</v>
      </c>
      <c r="N36" s="38">
        <v>55.249</v>
      </c>
      <c r="O36" s="38">
        <v>44.751</v>
      </c>
    </row>
    <row r="37" spans="1:15" ht="16.5">
      <c r="A37" s="42" t="s">
        <v>126</v>
      </c>
      <c r="B37" s="49"/>
      <c r="C37" s="39" t="s">
        <v>29</v>
      </c>
      <c r="D37" s="35">
        <v>29.5</v>
      </c>
      <c r="E37" s="35">
        <v>141.844</v>
      </c>
      <c r="F37" s="41">
        <v>100</v>
      </c>
      <c r="G37" s="35">
        <v>25</v>
      </c>
      <c r="H37" s="35">
        <v>28</v>
      </c>
      <c r="I37" s="35" t="s">
        <v>133</v>
      </c>
      <c r="J37" s="35" t="s">
        <v>133</v>
      </c>
      <c r="K37" s="35" t="s">
        <v>133</v>
      </c>
      <c r="L37" s="38">
        <v>28</v>
      </c>
      <c r="M37" s="38">
        <v>49.24</v>
      </c>
      <c r="N37" s="38">
        <v>59.911</v>
      </c>
      <c r="O37" s="38">
        <v>40.089</v>
      </c>
    </row>
    <row r="38" spans="1:15" ht="16.5">
      <c r="A38" s="34" t="s">
        <v>21</v>
      </c>
      <c r="B38" s="50"/>
      <c r="C38" s="36" t="s">
        <v>30</v>
      </c>
      <c r="D38" s="40">
        <v>22</v>
      </c>
      <c r="E38" s="40">
        <v>128.205</v>
      </c>
      <c r="F38" s="41">
        <v>100</v>
      </c>
      <c r="G38" s="40" t="s">
        <v>133</v>
      </c>
      <c r="H38" s="38">
        <v>0</v>
      </c>
      <c r="I38" s="40" t="s">
        <v>133</v>
      </c>
      <c r="J38" s="40" t="s">
        <v>133</v>
      </c>
      <c r="K38" s="40" t="s">
        <v>133</v>
      </c>
      <c r="L38" s="38">
        <v>0</v>
      </c>
      <c r="M38" s="38">
        <v>22</v>
      </c>
      <c r="N38" s="38">
        <v>100</v>
      </c>
      <c r="O38" s="38">
        <v>0</v>
      </c>
    </row>
    <row r="39" spans="1:15" ht="16.5">
      <c r="A39" s="42" t="s">
        <v>42</v>
      </c>
      <c r="B39" s="49"/>
      <c r="C39" s="39" t="s">
        <v>4</v>
      </c>
      <c r="D39" s="40">
        <v>17</v>
      </c>
      <c r="E39" s="40">
        <v>120.482</v>
      </c>
      <c r="F39" s="41">
        <v>100</v>
      </c>
      <c r="G39" s="40">
        <v>25</v>
      </c>
      <c r="H39" s="38">
        <v>25</v>
      </c>
      <c r="I39" s="40" t="s">
        <v>133</v>
      </c>
      <c r="J39" s="40" t="s">
        <v>133</v>
      </c>
      <c r="K39" s="40" t="s">
        <v>133</v>
      </c>
      <c r="L39" s="38">
        <v>25</v>
      </c>
      <c r="M39" s="38">
        <v>37.75</v>
      </c>
      <c r="N39" s="38">
        <v>45.033</v>
      </c>
      <c r="O39" s="38">
        <v>54.967</v>
      </c>
    </row>
    <row r="40" spans="1:15" ht="16.5">
      <c r="A40" s="42" t="s">
        <v>127</v>
      </c>
      <c r="B40" s="49"/>
      <c r="C40" s="39" t="s">
        <v>29</v>
      </c>
      <c r="D40" s="40">
        <v>25</v>
      </c>
      <c r="E40" s="40">
        <v>133.333</v>
      </c>
      <c r="F40" s="41">
        <v>100</v>
      </c>
      <c r="G40" s="40" t="s">
        <v>133</v>
      </c>
      <c r="H40" s="38">
        <v>23</v>
      </c>
      <c r="I40" s="40" t="s">
        <v>133</v>
      </c>
      <c r="J40" s="40" t="s">
        <v>133</v>
      </c>
      <c r="K40" s="40" t="s">
        <v>133</v>
      </c>
      <c r="L40" s="38">
        <v>23</v>
      </c>
      <c r="M40" s="38">
        <v>42.25</v>
      </c>
      <c r="N40" s="38">
        <v>59.172</v>
      </c>
      <c r="O40" s="38">
        <v>40.828</v>
      </c>
    </row>
    <row r="41" spans="1:15" ht="16.5">
      <c r="A41" s="42" t="s">
        <v>23</v>
      </c>
      <c r="B41" s="49"/>
      <c r="C41" s="39" t="s">
        <v>4</v>
      </c>
      <c r="D41" s="40">
        <v>22</v>
      </c>
      <c r="E41" s="40">
        <v>128.205</v>
      </c>
      <c r="F41" s="41">
        <v>100</v>
      </c>
      <c r="G41" s="40" t="s">
        <v>133</v>
      </c>
      <c r="H41" s="38">
        <v>30</v>
      </c>
      <c r="I41" s="40" t="s">
        <v>133</v>
      </c>
      <c r="J41" s="40" t="s">
        <v>133</v>
      </c>
      <c r="K41" s="40" t="s">
        <v>133</v>
      </c>
      <c r="L41" s="38">
        <v>30</v>
      </c>
      <c r="M41" s="38">
        <v>45.4</v>
      </c>
      <c r="N41" s="38">
        <v>48.458</v>
      </c>
      <c r="O41" s="38">
        <v>51.542</v>
      </c>
    </row>
    <row r="42" spans="1:15" ht="16.5">
      <c r="A42" s="42" t="s">
        <v>128</v>
      </c>
      <c r="B42" s="49"/>
      <c r="C42" s="39" t="s">
        <v>29</v>
      </c>
      <c r="D42" s="40">
        <v>21.15</v>
      </c>
      <c r="E42" s="40">
        <v>126.823</v>
      </c>
      <c r="F42" s="41">
        <v>100</v>
      </c>
      <c r="G42" s="40" t="s">
        <v>133</v>
      </c>
      <c r="H42" s="38">
        <v>21.135</v>
      </c>
      <c r="I42" s="40" t="s">
        <v>133</v>
      </c>
      <c r="J42" s="40" t="s">
        <v>133</v>
      </c>
      <c r="K42" s="40" t="s">
        <v>133</v>
      </c>
      <c r="L42" s="38">
        <v>21.135</v>
      </c>
      <c r="M42" s="38">
        <v>37.815</v>
      </c>
      <c r="N42" s="38">
        <v>55.93</v>
      </c>
      <c r="O42" s="38">
        <v>44.07</v>
      </c>
    </row>
    <row r="43" spans="1:15" ht="16.5">
      <c r="A43" s="42" t="s">
        <v>24</v>
      </c>
      <c r="B43" s="49"/>
      <c r="C43" s="39" t="s">
        <v>25</v>
      </c>
      <c r="D43" s="40">
        <v>20</v>
      </c>
      <c r="E43" s="40">
        <v>125</v>
      </c>
      <c r="F43" s="41">
        <v>100</v>
      </c>
      <c r="G43" s="40" t="s">
        <v>133</v>
      </c>
      <c r="H43" s="38">
        <v>35</v>
      </c>
      <c r="I43" s="40" t="s">
        <v>133</v>
      </c>
      <c r="J43" s="40" t="s">
        <v>133</v>
      </c>
      <c r="K43" s="40" t="s">
        <v>133</v>
      </c>
      <c r="L43" s="38">
        <v>17.5</v>
      </c>
      <c r="M43" s="38">
        <v>34</v>
      </c>
      <c r="N43" s="38">
        <v>58.824</v>
      </c>
      <c r="O43" s="38">
        <v>41.176</v>
      </c>
    </row>
    <row r="44" spans="1:15" ht="16.5">
      <c r="A44" s="42" t="s">
        <v>129</v>
      </c>
      <c r="B44" s="49"/>
      <c r="C44" s="45" t="s">
        <v>6</v>
      </c>
      <c r="D44" s="40">
        <v>20</v>
      </c>
      <c r="E44" s="40">
        <v>125</v>
      </c>
      <c r="F44" s="41">
        <v>100</v>
      </c>
      <c r="G44" s="40" t="s">
        <v>133</v>
      </c>
      <c r="H44" s="38">
        <v>37.5</v>
      </c>
      <c r="I44" s="40">
        <v>111.11</v>
      </c>
      <c r="J44" s="40">
        <v>9.999</v>
      </c>
      <c r="K44" s="40">
        <v>11.11</v>
      </c>
      <c r="L44" s="38">
        <v>30.556</v>
      </c>
      <c r="M44" s="38">
        <v>44.445</v>
      </c>
      <c r="N44" s="38">
        <v>44.999</v>
      </c>
      <c r="O44" s="38">
        <v>55.001</v>
      </c>
    </row>
    <row r="45" spans="1:15" ht="16.5">
      <c r="A45" s="42" t="s">
        <v>130</v>
      </c>
      <c r="B45" s="49"/>
      <c r="C45" s="39" t="s">
        <v>29</v>
      </c>
      <c r="D45" s="22">
        <v>38.924</v>
      </c>
      <c r="E45" s="22">
        <v>163.73</v>
      </c>
      <c r="F45" s="22">
        <v>100</v>
      </c>
      <c r="G45" s="22" t="s">
        <v>133</v>
      </c>
      <c r="H45" s="22">
        <v>28.516</v>
      </c>
      <c r="I45" s="22" t="s">
        <v>133</v>
      </c>
      <c r="J45" s="22" t="s">
        <v>133</v>
      </c>
      <c r="K45" s="22" t="s">
        <v>133</v>
      </c>
      <c r="L45" s="22">
        <v>28.516</v>
      </c>
      <c r="M45" s="22">
        <v>56.34</v>
      </c>
      <c r="N45" s="22">
        <v>69.087</v>
      </c>
      <c r="O45" s="22">
        <v>30.913</v>
      </c>
    </row>
    <row r="46" spans="1:15" ht="15.75" thickBot="1">
      <c r="A46" s="28"/>
      <c r="B46" s="28"/>
      <c r="C46" s="28"/>
      <c r="D46" s="28"/>
      <c r="E46" s="28"/>
      <c r="F46" s="28"/>
      <c r="G46" s="28"/>
      <c r="H46" s="28"/>
      <c r="I46" s="28"/>
      <c r="J46" s="28"/>
      <c r="K46" s="28"/>
      <c r="L46" s="28"/>
      <c r="M46" s="28"/>
      <c r="N46" s="28"/>
      <c r="O46" s="28"/>
    </row>
  </sheetData>
  <sheetProtection/>
  <mergeCells count="13">
    <mergeCell ref="O5:O8"/>
    <mergeCell ref="I5:I8"/>
    <mergeCell ref="J5:J8"/>
    <mergeCell ref="K5:K8"/>
    <mergeCell ref="L5:L8"/>
    <mergeCell ref="M5:M8"/>
    <mergeCell ref="N5:N8"/>
    <mergeCell ref="C5:C8"/>
    <mergeCell ref="D5:D8"/>
    <mergeCell ref="E5:E8"/>
    <mergeCell ref="F5:F8"/>
    <mergeCell ref="G5:G8"/>
    <mergeCell ref="H5:H8"/>
  </mergeCells>
  <printOptions horizontalCentered="1"/>
  <pageMargins left="0.25" right="0.25" top="1" bottom="1" header="0.3" footer="0.3"/>
  <pageSetup fitToWidth="0" fitToHeight="1" horizontalDpi="300" verticalDpi="300" orientation="portrait" paperSize="9" scale="42"/>
  <drawing r:id="rId1"/>
</worksheet>
</file>

<file path=xl/worksheets/sheet10.xml><?xml version="1.0" encoding="utf-8"?>
<worksheet xmlns="http://schemas.openxmlformats.org/spreadsheetml/2006/main" xmlns:r="http://schemas.openxmlformats.org/officeDocument/2006/relationships">
  <sheetPr>
    <pageSetUpPr fitToPage="1"/>
  </sheetPr>
  <dimension ref="A1:AB46"/>
  <sheetViews>
    <sheetView showGridLines="0" zoomScalePageLayoutView="0" workbookViewId="0" topLeftCell="A47">
      <selection activeCell="A1" sqref="A1:IV65536"/>
    </sheetView>
  </sheetViews>
  <sheetFormatPr defaultColWidth="9.140625" defaultRowHeight="12.75"/>
  <cols>
    <col min="1" max="1" width="14.851562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7.140625" style="2" customWidth="1"/>
    <col min="10" max="10" width="0.85546875" style="2" customWidth="1"/>
    <col min="11" max="11" width="7.710937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421875" style="2" customWidth="1"/>
    <col min="18" max="18" width="0.85546875" style="2" customWidth="1"/>
    <col min="19" max="19" width="12.421875" style="2" customWidth="1"/>
    <col min="20" max="20" width="0.85546875" style="2" customWidth="1"/>
    <col min="21" max="21" width="8.7109375" style="2" customWidth="1"/>
    <col min="22" max="22" width="0.85546875" style="2" customWidth="1"/>
    <col min="23" max="23" width="7.421875" style="2" customWidth="1"/>
    <col min="24" max="24" width="0.9921875" style="2" customWidth="1"/>
    <col min="25" max="25" width="7.7109375" style="2" customWidth="1"/>
    <col min="26" max="26" width="1.28515625" style="2" customWidth="1"/>
    <col min="27" max="27" width="7.8515625" style="2" customWidth="1"/>
    <col min="28" max="16384" width="9.140625" style="2" customWidth="1"/>
  </cols>
  <sheetData>
    <row r="1" spans="1:21" ht="12.75">
      <c r="A1" s="1">
        <v>41680</v>
      </c>
      <c r="C1" s="3"/>
      <c r="U1" s="4"/>
    </row>
    <row r="2" spans="1:27" ht="12.75">
      <c r="A2" s="5" t="s">
        <v>98</v>
      </c>
      <c r="B2" s="6"/>
      <c r="C2" s="6"/>
      <c r="D2" s="6"/>
      <c r="E2" s="6"/>
      <c r="F2" s="6"/>
      <c r="G2" s="6"/>
      <c r="H2" s="6"/>
      <c r="I2" s="6"/>
      <c r="J2" s="6"/>
      <c r="K2" s="6"/>
      <c r="L2" s="6"/>
      <c r="M2" s="6"/>
      <c r="N2" s="6"/>
      <c r="O2" s="6"/>
      <c r="P2" s="6"/>
      <c r="Q2" s="6"/>
      <c r="R2" s="6"/>
      <c r="S2" s="6"/>
      <c r="T2" s="6"/>
      <c r="U2" s="6"/>
      <c r="V2" s="6"/>
      <c r="W2" s="6"/>
      <c r="X2" s="6"/>
      <c r="Y2" s="6"/>
      <c r="Z2" s="6"/>
      <c r="AA2" s="6"/>
    </row>
    <row r="3" spans="1:27" ht="13.5" thickBot="1">
      <c r="A3" s="7"/>
      <c r="B3" s="7"/>
      <c r="C3" s="7"/>
      <c r="D3" s="7"/>
      <c r="E3" s="7"/>
      <c r="F3" s="7"/>
      <c r="G3" s="7"/>
      <c r="H3" s="7"/>
      <c r="I3" s="7"/>
      <c r="J3" s="7"/>
      <c r="K3" s="7"/>
      <c r="L3" s="7"/>
      <c r="M3" s="7"/>
      <c r="N3" s="7"/>
      <c r="O3" s="7"/>
      <c r="P3" s="7"/>
      <c r="Q3" s="7"/>
      <c r="R3" s="7"/>
      <c r="S3" s="7"/>
      <c r="T3" s="7"/>
      <c r="U3" s="7"/>
      <c r="V3" s="7"/>
      <c r="W3" s="7"/>
      <c r="X3" s="7"/>
      <c r="Y3" s="7"/>
      <c r="Z3" s="7"/>
      <c r="AA3" s="7"/>
    </row>
    <row r="4" ht="12.75">
      <c r="U4" s="4"/>
    </row>
    <row r="5" spans="1:27" ht="12.75">
      <c r="A5" s="9"/>
      <c r="B5" s="9"/>
      <c r="C5" s="51" t="s">
        <v>0</v>
      </c>
      <c r="D5" s="10"/>
      <c r="E5" s="51" t="s">
        <v>46</v>
      </c>
      <c r="F5" s="11"/>
      <c r="G5" s="51" t="s">
        <v>47</v>
      </c>
      <c r="H5" s="11"/>
      <c r="I5" s="51" t="s">
        <v>48</v>
      </c>
      <c r="J5" s="10"/>
      <c r="K5" s="51" t="s">
        <v>78</v>
      </c>
      <c r="L5" s="11"/>
      <c r="M5" s="51" t="s">
        <v>50</v>
      </c>
      <c r="N5" s="10"/>
      <c r="O5" s="51" t="s">
        <v>51</v>
      </c>
      <c r="P5" s="11"/>
      <c r="Q5" s="51" t="s">
        <v>52</v>
      </c>
      <c r="R5" s="11"/>
      <c r="S5" s="51" t="s">
        <v>53</v>
      </c>
      <c r="T5" s="11"/>
      <c r="U5" s="51" t="s">
        <v>54</v>
      </c>
      <c r="V5" s="10"/>
      <c r="W5" s="51" t="s">
        <v>55</v>
      </c>
      <c r="X5" s="12"/>
      <c r="Y5" s="51" t="s">
        <v>56</v>
      </c>
      <c r="Z5" s="12"/>
      <c r="AA5" s="51" t="s">
        <v>57</v>
      </c>
    </row>
    <row r="6" spans="1:27" ht="12.75">
      <c r="A6" s="12"/>
      <c r="B6" s="9"/>
      <c r="C6" s="52"/>
      <c r="D6" s="10"/>
      <c r="E6" s="52"/>
      <c r="F6" s="11"/>
      <c r="G6" s="52"/>
      <c r="H6" s="11"/>
      <c r="I6" s="52"/>
      <c r="J6" s="10"/>
      <c r="K6" s="52"/>
      <c r="L6" s="11"/>
      <c r="M6" s="52"/>
      <c r="N6" s="13"/>
      <c r="O6" s="52"/>
      <c r="P6" s="11"/>
      <c r="Q6" s="52"/>
      <c r="R6" s="11"/>
      <c r="S6" s="52"/>
      <c r="T6" s="11"/>
      <c r="U6" s="52"/>
      <c r="V6" s="10"/>
      <c r="W6" s="52"/>
      <c r="X6" s="12"/>
      <c r="Y6" s="52"/>
      <c r="Z6" s="12"/>
      <c r="AA6" s="52"/>
    </row>
    <row r="7" spans="1:27" ht="12.75">
      <c r="A7" s="14"/>
      <c r="B7" s="9"/>
      <c r="C7" s="52"/>
      <c r="D7" s="10"/>
      <c r="E7" s="52"/>
      <c r="F7" s="11"/>
      <c r="G7" s="52"/>
      <c r="H7" s="11"/>
      <c r="I7" s="52"/>
      <c r="J7" s="10"/>
      <c r="K7" s="52"/>
      <c r="L7" s="11"/>
      <c r="M7" s="52"/>
      <c r="N7" s="13"/>
      <c r="O7" s="52"/>
      <c r="P7" s="11"/>
      <c r="Q7" s="52"/>
      <c r="R7" s="11"/>
      <c r="S7" s="52"/>
      <c r="T7" s="11"/>
      <c r="U7" s="52"/>
      <c r="V7" s="10"/>
      <c r="W7" s="52"/>
      <c r="X7" s="12"/>
      <c r="Y7" s="52"/>
      <c r="Z7" s="12"/>
      <c r="AA7" s="52"/>
    </row>
    <row r="8" spans="1:27" ht="12.75">
      <c r="A8" s="14" t="s">
        <v>1</v>
      </c>
      <c r="B8" s="9"/>
      <c r="C8" s="52"/>
      <c r="D8" s="10"/>
      <c r="E8" s="52"/>
      <c r="F8" s="11"/>
      <c r="G8" s="52"/>
      <c r="H8" s="11"/>
      <c r="I8" s="52"/>
      <c r="J8" s="10"/>
      <c r="K8" s="52"/>
      <c r="L8" s="11"/>
      <c r="M8" s="52"/>
      <c r="N8" s="13"/>
      <c r="O8" s="52"/>
      <c r="P8" s="11"/>
      <c r="Q8" s="52"/>
      <c r="R8" s="11"/>
      <c r="S8" s="52"/>
      <c r="T8" s="11"/>
      <c r="U8" s="52"/>
      <c r="V8" s="10"/>
      <c r="W8" s="52"/>
      <c r="X8" s="12"/>
      <c r="Y8" s="52"/>
      <c r="Z8" s="12"/>
      <c r="AA8" s="52"/>
    </row>
    <row r="9" spans="1:27" ht="12.75">
      <c r="A9" s="15"/>
      <c r="B9" s="15"/>
      <c r="C9" s="16"/>
      <c r="D9" s="17"/>
      <c r="E9" s="16"/>
      <c r="F9" s="18"/>
      <c r="G9" s="16"/>
      <c r="H9" s="18"/>
      <c r="I9" s="16"/>
      <c r="J9" s="17"/>
      <c r="K9" s="16"/>
      <c r="L9" s="18"/>
      <c r="M9" s="16"/>
      <c r="N9" s="16"/>
      <c r="O9" s="18"/>
      <c r="P9" s="18"/>
      <c r="Q9" s="18"/>
      <c r="R9" s="18"/>
      <c r="S9" s="18"/>
      <c r="T9" s="18"/>
      <c r="U9" s="15"/>
      <c r="V9" s="17"/>
      <c r="W9" s="16"/>
      <c r="X9" s="16"/>
      <c r="Y9" s="16"/>
      <c r="Z9" s="16"/>
      <c r="AA9" s="16"/>
    </row>
    <row r="10" ht="12.75">
      <c r="U10" s="4"/>
    </row>
    <row r="11" spans="1:27" ht="12.75">
      <c r="A11" s="12" t="s">
        <v>58</v>
      </c>
      <c r="C11" s="8" t="s">
        <v>2</v>
      </c>
      <c r="D11" s="19"/>
      <c r="E11" s="19">
        <v>30</v>
      </c>
      <c r="F11" s="20"/>
      <c r="G11" s="19">
        <f>100/(1-E11/100)</f>
        <v>142.85714285714286</v>
      </c>
      <c r="H11" s="19"/>
      <c r="I11" s="21">
        <v>100</v>
      </c>
      <c r="J11" s="21"/>
      <c r="K11" s="19"/>
      <c r="L11" s="20"/>
      <c r="M11" s="19">
        <v>46.5</v>
      </c>
      <c r="N11" s="19"/>
      <c r="O11" s="19">
        <f>I11/(1-E11/100)</f>
        <v>142.85714285714286</v>
      </c>
      <c r="P11" s="19"/>
      <c r="Q11" s="19">
        <f>(O11-100)/O11*100</f>
        <v>30.000000000000004</v>
      </c>
      <c r="R11" s="19"/>
      <c r="S11" s="19">
        <f>+I11*(Q11/(100-Q11))</f>
        <v>42.85714285714286</v>
      </c>
      <c r="T11" s="20"/>
      <c r="U11" s="19">
        <f>+(M11/100)*MAX(I11,O11)-S11</f>
        <v>23.57142857142857</v>
      </c>
      <c r="V11" s="19"/>
      <c r="W11" s="22">
        <f>(G11-I11+U11)/G11*100</f>
        <v>46.5</v>
      </c>
      <c r="X11" s="22"/>
      <c r="Y11" s="22">
        <f>((G11-I11)/((G11-I11)+U11))*100</f>
        <v>64.51612903225808</v>
      </c>
      <c r="Z11" s="20"/>
      <c r="AA11" s="22">
        <f>(U11/((G11-I11)+U11))*100</f>
        <v>35.48387096774193</v>
      </c>
    </row>
    <row r="12" spans="1:27" ht="12.75">
      <c r="A12" s="12" t="s">
        <v>3</v>
      </c>
      <c r="C12" s="8" t="s">
        <v>4</v>
      </c>
      <c r="E12" s="19">
        <v>25</v>
      </c>
      <c r="F12" s="20"/>
      <c r="G12" s="19">
        <f aca="true" t="shared" si="0" ref="G12:G19">100/(1-E12/100)</f>
        <v>133.33333333333334</v>
      </c>
      <c r="H12" s="19"/>
      <c r="I12" s="21">
        <v>100</v>
      </c>
      <c r="J12" s="21"/>
      <c r="K12" s="19">
        <v>25</v>
      </c>
      <c r="L12" s="20"/>
      <c r="M12" s="19">
        <v>25</v>
      </c>
      <c r="N12" s="19"/>
      <c r="O12" s="19"/>
      <c r="P12" s="19"/>
      <c r="Q12" s="19"/>
      <c r="R12" s="19"/>
      <c r="S12" s="19"/>
      <c r="T12" s="20"/>
      <c r="U12" s="19">
        <f>+(K12/100)*MAX(I12,O12)-S12</f>
        <v>25</v>
      </c>
      <c r="V12" s="19"/>
      <c r="W12" s="22">
        <f aca="true" t="shared" si="1" ref="W12:W20">(G12-I12+U12)/G12*100</f>
        <v>43.75000000000001</v>
      </c>
      <c r="X12" s="20"/>
      <c r="Y12" s="22">
        <f aca="true" t="shared" si="2" ref="Y12:Y20">((G12-I12)/((G12-I12)+U12))*100</f>
        <v>57.14285714285715</v>
      </c>
      <c r="AA12" s="22">
        <f aca="true" t="shared" si="3" ref="AA12:AA20">(U12/((G12-I12)+U12))*100</f>
        <v>42.85714285714285</v>
      </c>
    </row>
    <row r="13" spans="1:27" ht="12.75">
      <c r="A13" s="12" t="s">
        <v>59</v>
      </c>
      <c r="C13" s="8" t="s">
        <v>4</v>
      </c>
      <c r="E13" s="19">
        <f>33*1.03</f>
        <v>33.99</v>
      </c>
      <c r="F13" s="20"/>
      <c r="G13" s="19">
        <f t="shared" si="0"/>
        <v>151.4921981517952</v>
      </c>
      <c r="H13" s="22"/>
      <c r="I13" s="21">
        <v>100</v>
      </c>
      <c r="J13" s="23"/>
      <c r="K13" s="22"/>
      <c r="L13" s="20"/>
      <c r="M13" s="19">
        <v>15</v>
      </c>
      <c r="N13" s="19"/>
      <c r="O13" s="19"/>
      <c r="P13" s="19"/>
      <c r="Q13" s="19"/>
      <c r="R13" s="19"/>
      <c r="S13" s="19"/>
      <c r="T13" s="20"/>
      <c r="U13" s="19">
        <f>+(M13/100)*MAX(I13,O13)-S13</f>
        <v>15</v>
      </c>
      <c r="V13" s="19"/>
      <c r="W13" s="22">
        <f t="shared" si="1"/>
        <v>43.89150000000001</v>
      </c>
      <c r="X13" s="20"/>
      <c r="Y13" s="22">
        <f t="shared" si="2"/>
        <v>77.44096237312465</v>
      </c>
      <c r="AA13" s="22">
        <f t="shared" si="3"/>
        <v>22.559037626875355</v>
      </c>
    </row>
    <row r="14" spans="1:27" ht="12.75">
      <c r="A14" s="12" t="s">
        <v>87</v>
      </c>
      <c r="C14" s="8" t="s">
        <v>6</v>
      </c>
      <c r="E14" s="32">
        <v>33.95</v>
      </c>
      <c r="F14" s="20"/>
      <c r="G14" s="19">
        <f t="shared" si="0"/>
        <v>151.4004542013626</v>
      </c>
      <c r="H14" s="22"/>
      <c r="I14" s="21">
        <v>100</v>
      </c>
      <c r="J14" s="23"/>
      <c r="K14" s="22"/>
      <c r="L14" s="20"/>
      <c r="M14" s="19">
        <f>29+11.16+6.25</f>
        <v>46.41</v>
      </c>
      <c r="N14" s="19"/>
      <c r="O14" s="19">
        <f>1.45*I14</f>
        <v>145</v>
      </c>
      <c r="P14" s="19"/>
      <c r="Q14" s="19">
        <f>18.9655+1.56*6.7</f>
        <v>29.417499999999997</v>
      </c>
      <c r="R14" s="19"/>
      <c r="S14" s="19">
        <f>O14*Q14/100</f>
        <v>42.65537499999999</v>
      </c>
      <c r="T14" s="20"/>
      <c r="U14" s="19">
        <f>+(M14/100)*MAX(I14,O14)-S14</f>
        <v>24.639125000000007</v>
      </c>
      <c r="V14" s="19"/>
      <c r="W14" s="22">
        <f t="shared" si="1"/>
        <v>50.22414206250001</v>
      </c>
      <c r="X14" s="20"/>
      <c r="Y14" s="22">
        <f t="shared" si="2"/>
        <v>67.59697349882431</v>
      </c>
      <c r="AA14" s="22">
        <f t="shared" si="3"/>
        <v>32.40302650117569</v>
      </c>
    </row>
    <row r="15" spans="1:28" ht="12.75">
      <c r="A15" s="12" t="s">
        <v>41</v>
      </c>
      <c r="C15" s="8" t="s">
        <v>2</v>
      </c>
      <c r="E15" s="19">
        <v>17</v>
      </c>
      <c r="F15" s="20"/>
      <c r="G15" s="19">
        <f>100/(1-E15/100)</f>
        <v>120.48192771084338</v>
      </c>
      <c r="H15" s="22"/>
      <c r="I15" s="21">
        <v>100</v>
      </c>
      <c r="J15" s="23"/>
      <c r="K15" s="22" t="s">
        <v>34</v>
      </c>
      <c r="L15" s="20"/>
      <c r="M15" s="19">
        <v>40</v>
      </c>
      <c r="N15" s="19"/>
      <c r="O15" s="19">
        <v>120.48192771084338</v>
      </c>
      <c r="P15" s="19"/>
      <c r="Q15" s="19">
        <v>17.000000000000004</v>
      </c>
      <c r="R15" s="19"/>
      <c r="S15" s="19">
        <f>O15*Q15/100</f>
        <v>20.48192771084338</v>
      </c>
      <c r="T15" s="20" t="s">
        <v>40</v>
      </c>
      <c r="U15" s="19">
        <f>+(M15/100)*MAX(I15,O15)-S15</f>
        <v>27.710843373493972</v>
      </c>
      <c r="V15" s="19"/>
      <c r="W15" s="22">
        <f>(G15-I15+U15)/G15*100</f>
        <v>40</v>
      </c>
      <c r="X15" s="20"/>
      <c r="Y15" s="22">
        <f>((G15-I15)/((G15-I15)+U15))*100</f>
        <v>42.50000000000001</v>
      </c>
      <c r="AA15" s="22">
        <f>(U15/((G15-I15)+U15))*100</f>
        <v>57.499999999999986</v>
      </c>
      <c r="AB15" s="8"/>
    </row>
    <row r="16" spans="1:27" ht="12.75">
      <c r="A16" s="12" t="s">
        <v>7</v>
      </c>
      <c r="C16" s="8" t="s">
        <v>4</v>
      </c>
      <c r="E16" s="19">
        <v>24</v>
      </c>
      <c r="F16" s="20"/>
      <c r="G16" s="19">
        <f t="shared" si="0"/>
        <v>131.57894736842104</v>
      </c>
      <c r="H16" s="22"/>
      <c r="I16" s="21">
        <v>100</v>
      </c>
      <c r="J16" s="23"/>
      <c r="K16" s="22">
        <v>15</v>
      </c>
      <c r="L16" s="20"/>
      <c r="M16" s="19">
        <v>15</v>
      </c>
      <c r="N16" s="19"/>
      <c r="O16" s="19"/>
      <c r="P16" s="19"/>
      <c r="Q16" s="19"/>
      <c r="R16" s="19"/>
      <c r="S16" s="19"/>
      <c r="T16" s="20"/>
      <c r="U16" s="19">
        <f>+(M16/100)*MAX(I16,O16)-S16</f>
        <v>15</v>
      </c>
      <c r="V16" s="19"/>
      <c r="W16" s="22">
        <f t="shared" si="1"/>
        <v>35.39999999999999</v>
      </c>
      <c r="X16" s="20"/>
      <c r="Y16" s="22">
        <f t="shared" si="2"/>
        <v>67.79661016949152</v>
      </c>
      <c r="AA16" s="22">
        <f t="shared" si="3"/>
        <v>32.203389830508485</v>
      </c>
    </row>
    <row r="17" spans="1:27" ht="12.75">
      <c r="A17" s="12" t="s">
        <v>8</v>
      </c>
      <c r="C17" s="8" t="s">
        <v>29</v>
      </c>
      <c r="E17" s="19">
        <v>25</v>
      </c>
      <c r="F17" s="20"/>
      <c r="G17" s="19">
        <f t="shared" si="0"/>
        <v>133.33333333333334</v>
      </c>
      <c r="H17" s="22"/>
      <c r="I17" s="21">
        <v>100</v>
      </c>
      <c r="J17" s="23"/>
      <c r="K17" s="22"/>
      <c r="L17" s="20"/>
      <c r="M17" s="19">
        <v>43</v>
      </c>
      <c r="N17" s="19"/>
      <c r="O17" s="19"/>
      <c r="P17" s="19"/>
      <c r="Q17" s="19"/>
      <c r="R17" s="19"/>
      <c r="S17" s="19"/>
      <c r="T17" s="20"/>
      <c r="U17" s="19">
        <f>+(M17/100)*MAX(I17,O17)-S17</f>
        <v>43</v>
      </c>
      <c r="V17" s="19"/>
      <c r="W17" s="22">
        <f t="shared" si="1"/>
        <v>57.25</v>
      </c>
      <c r="X17" s="20"/>
      <c r="Y17" s="22">
        <f t="shared" si="2"/>
        <v>43.668122270742366</v>
      </c>
      <c r="Z17" s="22" t="e">
        <f>+T17/(F17-H17+T17)*100</f>
        <v>#DIV/0!</v>
      </c>
      <c r="AA17" s="22">
        <f t="shared" si="3"/>
        <v>56.33187772925764</v>
      </c>
    </row>
    <row r="18" spans="1:27" ht="12.75">
      <c r="A18" s="12" t="s">
        <v>44</v>
      </c>
      <c r="C18" s="8" t="s">
        <v>30</v>
      </c>
      <c r="E18" s="8">
        <v>22</v>
      </c>
      <c r="G18" s="19">
        <v>128.2051282051282</v>
      </c>
      <c r="H18" s="24"/>
      <c r="I18" s="21">
        <v>100</v>
      </c>
      <c r="J18" s="23"/>
      <c r="K18" s="24" t="s">
        <v>34</v>
      </c>
      <c r="M18" s="8">
        <v>0</v>
      </c>
      <c r="N18" s="8"/>
      <c r="O18" s="8"/>
      <c r="P18" s="8"/>
      <c r="Q18" s="8"/>
      <c r="R18" s="8"/>
      <c r="S18" s="8"/>
      <c r="U18" s="19">
        <v>0</v>
      </c>
      <c r="V18" s="19"/>
      <c r="W18" s="22">
        <v>22</v>
      </c>
      <c r="X18" s="20"/>
      <c r="Y18" s="22">
        <v>100</v>
      </c>
      <c r="Z18" s="22"/>
      <c r="AA18" s="22">
        <v>0</v>
      </c>
    </row>
    <row r="19" spans="1:27" ht="12.75">
      <c r="A19" s="12" t="s">
        <v>88</v>
      </c>
      <c r="C19" s="8" t="s">
        <v>25</v>
      </c>
      <c r="E19" s="19">
        <v>26</v>
      </c>
      <c r="F19" s="20"/>
      <c r="G19" s="19">
        <f t="shared" si="0"/>
        <v>135.13513513513513</v>
      </c>
      <c r="H19" s="22"/>
      <c r="I19" s="21">
        <v>100</v>
      </c>
      <c r="J19" s="23"/>
      <c r="K19" s="22"/>
      <c r="L19" s="20"/>
      <c r="M19" s="19">
        <v>28</v>
      </c>
      <c r="N19" s="19"/>
      <c r="O19" s="19"/>
      <c r="P19" s="19"/>
      <c r="Q19" s="19"/>
      <c r="R19" s="19"/>
      <c r="S19" s="19"/>
      <c r="T19" s="20"/>
      <c r="U19" s="19">
        <f>I19*0.7*M19/100</f>
        <v>19.6</v>
      </c>
      <c r="V19" s="19"/>
      <c r="W19" s="22">
        <f t="shared" si="1"/>
        <v>40.504</v>
      </c>
      <c r="X19" s="20"/>
      <c r="Y19" s="22">
        <f t="shared" si="2"/>
        <v>64.19119099348211</v>
      </c>
      <c r="AA19" s="22">
        <f t="shared" si="3"/>
        <v>35.808809006517876</v>
      </c>
    </row>
    <row r="20" spans="1:27" ht="12.75">
      <c r="A20" s="12" t="s">
        <v>89</v>
      </c>
      <c r="C20" s="8" t="s">
        <v>25</v>
      </c>
      <c r="E20" s="19">
        <v>34.43</v>
      </c>
      <c r="F20" s="20"/>
      <c r="G20" s="19">
        <f>100/(1-E20/100)</f>
        <v>152.50876925423213</v>
      </c>
      <c r="H20" s="22"/>
      <c r="I20" s="21">
        <v>100</v>
      </c>
      <c r="J20" s="23"/>
      <c r="K20" s="22"/>
      <c r="L20" s="20"/>
      <c r="M20" s="19">
        <f>11+(1-40%-5.8%)*40</f>
        <v>32.68</v>
      </c>
      <c r="N20" s="19"/>
      <c r="O20" s="19"/>
      <c r="P20" s="19"/>
      <c r="Q20" s="19"/>
      <c r="R20" s="19"/>
      <c r="S20" s="19"/>
      <c r="T20" s="20"/>
      <c r="U20" s="19">
        <f>+(M20/100)*MAX(I20,O20)-S20</f>
        <v>32.68</v>
      </c>
      <c r="V20" s="19"/>
      <c r="W20" s="22">
        <f t="shared" si="1"/>
        <v>55.858276000000004</v>
      </c>
      <c r="X20" s="20"/>
      <c r="Y20" s="22">
        <f t="shared" si="2"/>
        <v>61.63813577060632</v>
      </c>
      <c r="AA20" s="22">
        <f t="shared" si="3"/>
        <v>38.361864229393674</v>
      </c>
    </row>
    <row r="21" spans="1:27" ht="12.75">
      <c r="A21" s="12" t="s">
        <v>9</v>
      </c>
      <c r="C21" s="8" t="s">
        <v>25</v>
      </c>
      <c r="E21" s="19">
        <v>38.90041493775934</v>
      </c>
      <c r="F21" s="20"/>
      <c r="G21" s="19">
        <f aca="true" t="shared" si="4" ref="G21:G34">100/(1-E21/100)</f>
        <v>163.66723259762307</v>
      </c>
      <c r="H21" s="22"/>
      <c r="I21" s="21">
        <v>100</v>
      </c>
      <c r="J21" s="23"/>
      <c r="K21" s="22"/>
      <c r="L21" s="20"/>
      <c r="M21" s="19">
        <v>47.475</v>
      </c>
      <c r="N21" s="19"/>
      <c r="O21" s="19"/>
      <c r="P21" s="19"/>
      <c r="Q21" s="19"/>
      <c r="R21" s="19"/>
      <c r="S21" s="19"/>
      <c r="T21" s="20"/>
      <c r="U21" s="22">
        <v>23.7375</v>
      </c>
      <c r="V21" s="19"/>
      <c r="W21" s="22">
        <f aca="true" t="shared" si="5" ref="W21:W35">(G21-I21+U21)/G21*100</f>
        <v>53.40392894190871</v>
      </c>
      <c r="X21" s="20"/>
      <c r="Y21" s="22">
        <f>((G21-I21)/((G21-I21)+U21))*100</f>
        <v>72.84185959440195</v>
      </c>
      <c r="AA21" s="22">
        <f>(U21/((G21-I21)+U21))*100</f>
        <v>27.158140405598054</v>
      </c>
    </row>
    <row r="22" spans="1:27" ht="12.75">
      <c r="A22" s="12" t="s">
        <v>10</v>
      </c>
      <c r="C22" s="8" t="s">
        <v>30</v>
      </c>
      <c r="E22" s="19">
        <v>25</v>
      </c>
      <c r="F22" s="20"/>
      <c r="G22" s="19">
        <f t="shared" si="4"/>
        <v>133.33333333333334</v>
      </c>
      <c r="H22" s="22"/>
      <c r="I22" s="21">
        <v>100</v>
      </c>
      <c r="J22" s="23"/>
      <c r="K22" s="22"/>
      <c r="L22" s="20"/>
      <c r="M22" s="19">
        <v>0</v>
      </c>
      <c r="N22" s="19"/>
      <c r="O22" s="19"/>
      <c r="P22" s="19"/>
      <c r="Q22" s="19"/>
      <c r="R22" s="19"/>
      <c r="S22" s="19"/>
      <c r="T22" s="20"/>
      <c r="U22" s="19">
        <v>0</v>
      </c>
      <c r="V22" s="19"/>
      <c r="W22" s="22">
        <f t="shared" si="5"/>
        <v>25.000000000000007</v>
      </c>
      <c r="X22" s="20"/>
      <c r="Y22" s="22">
        <f>((G22-I22)/((G22-I22)+U22))*100</f>
        <v>100</v>
      </c>
      <c r="AA22" s="22">
        <f>(U22/((G22-I22)+U22))*100</f>
        <v>0</v>
      </c>
    </row>
    <row r="23" spans="1:27" ht="12.75">
      <c r="A23" s="12" t="s">
        <v>70</v>
      </c>
      <c r="C23" s="8" t="s">
        <v>27</v>
      </c>
      <c r="E23" s="19">
        <v>20</v>
      </c>
      <c r="F23" s="20"/>
      <c r="G23" s="19">
        <f t="shared" si="4"/>
        <v>125</v>
      </c>
      <c r="H23" s="22"/>
      <c r="I23" s="21">
        <v>100</v>
      </c>
      <c r="J23" s="23"/>
      <c r="K23" s="22"/>
      <c r="L23" s="20"/>
      <c r="M23" s="19">
        <v>35</v>
      </c>
      <c r="N23" s="19"/>
      <c r="O23" s="19"/>
      <c r="P23" s="19"/>
      <c r="Q23" s="19"/>
      <c r="R23" s="19"/>
      <c r="S23" s="19"/>
      <c r="T23" s="20"/>
      <c r="U23" s="19">
        <f aca="true" t="shared" si="6" ref="U23:U29">+(M23/100)*MAX(I23,O23)-S23</f>
        <v>35</v>
      </c>
      <c r="V23" s="19"/>
      <c r="W23" s="22">
        <f t="shared" si="5"/>
        <v>48</v>
      </c>
      <c r="X23" s="20"/>
      <c r="Y23" s="22">
        <f>((G23-I23)/((G23-I23)+U23))*100</f>
        <v>41.66666666666667</v>
      </c>
      <c r="AA23" s="22">
        <f>(U23/((G23-I23)+U23))*100</f>
        <v>58.333333333333336</v>
      </c>
    </row>
    <row r="24" spans="1:27" ht="12.75">
      <c r="A24" s="12" t="s">
        <v>11</v>
      </c>
      <c r="C24" s="8" t="s">
        <v>4</v>
      </c>
      <c r="E24" s="19">
        <v>18</v>
      </c>
      <c r="F24" s="20"/>
      <c r="G24" s="19">
        <f t="shared" si="4"/>
        <v>121.95121951219511</v>
      </c>
      <c r="H24" s="19"/>
      <c r="I24" s="21">
        <v>100</v>
      </c>
      <c r="J24" s="23"/>
      <c r="K24" s="22"/>
      <c r="L24" s="20"/>
      <c r="M24" s="19">
        <v>10</v>
      </c>
      <c r="N24" s="19"/>
      <c r="O24" s="19"/>
      <c r="P24" s="19"/>
      <c r="Q24" s="19"/>
      <c r="R24" s="19"/>
      <c r="S24" s="19"/>
      <c r="T24" s="20"/>
      <c r="U24" s="19">
        <f t="shared" si="6"/>
        <v>10</v>
      </c>
      <c r="V24" s="19"/>
      <c r="W24" s="22">
        <f t="shared" si="5"/>
        <v>26.19999999999999</v>
      </c>
      <c r="X24" s="20"/>
      <c r="Y24" s="22">
        <f aca="true" t="shared" si="7" ref="Y24:Y30">((G24-I24)/((G24-I24)+U24))*100</f>
        <v>68.70229007633587</v>
      </c>
      <c r="AA24" s="22">
        <f aca="true" t="shared" si="8" ref="AA24:AA30">(U24/((G24-I24)+U24))*100</f>
        <v>31.297709923664137</v>
      </c>
    </row>
    <row r="25" spans="1:27" ht="12.75">
      <c r="A25" s="12" t="s">
        <v>12</v>
      </c>
      <c r="C25" s="8" t="s">
        <v>4</v>
      </c>
      <c r="E25" s="19">
        <v>12.5</v>
      </c>
      <c r="F25" s="20"/>
      <c r="G25" s="19">
        <f t="shared" si="4"/>
        <v>114.28571428571429</v>
      </c>
      <c r="H25" s="19"/>
      <c r="I25" s="21">
        <v>100</v>
      </c>
      <c r="J25" s="21"/>
      <c r="K25" s="19"/>
      <c r="L25" s="20"/>
      <c r="M25" s="19">
        <v>41</v>
      </c>
      <c r="N25" s="19"/>
      <c r="O25" s="19"/>
      <c r="P25" s="19"/>
      <c r="Q25" s="19"/>
      <c r="R25" s="19"/>
      <c r="S25" s="19"/>
      <c r="T25" s="20"/>
      <c r="U25" s="19">
        <f t="shared" si="6"/>
        <v>41</v>
      </c>
      <c r="V25" s="19"/>
      <c r="W25" s="22">
        <f t="shared" si="5"/>
        <v>48.375</v>
      </c>
      <c r="X25" s="20"/>
      <c r="Y25" s="22">
        <f>((G25-I25)/((G25-I25)+U25))*100</f>
        <v>25.839793281653755</v>
      </c>
      <c r="AA25" s="22">
        <f>(U25/((G25-I25)+U25))*100</f>
        <v>74.16020671834625</v>
      </c>
    </row>
    <row r="26" spans="1:27" ht="12.75">
      <c r="A26" s="12" t="s">
        <v>43</v>
      </c>
      <c r="C26" s="8" t="s">
        <v>29</v>
      </c>
      <c r="E26" s="8">
        <v>29</v>
      </c>
      <c r="F26" s="20"/>
      <c r="G26" s="19">
        <v>140.84507042253523</v>
      </c>
      <c r="H26" s="19"/>
      <c r="I26" s="21">
        <v>100</v>
      </c>
      <c r="J26" s="21"/>
      <c r="K26" s="19"/>
      <c r="L26" s="20"/>
      <c r="M26" s="19">
        <v>25</v>
      </c>
      <c r="N26" s="19"/>
      <c r="O26" s="19"/>
      <c r="P26" s="19"/>
      <c r="Q26" s="19"/>
      <c r="R26" s="19"/>
      <c r="S26" s="19"/>
      <c r="T26" s="20"/>
      <c r="U26" s="19">
        <v>25</v>
      </c>
      <c r="V26" s="19"/>
      <c r="W26" s="22">
        <v>46.75000000000001</v>
      </c>
      <c r="X26" s="20"/>
      <c r="Y26" s="22">
        <v>62.03208556149734</v>
      </c>
      <c r="Z26" s="20"/>
      <c r="AA26" s="22">
        <v>37.96791443850267</v>
      </c>
    </row>
    <row r="27" spans="1:27" ht="12.75">
      <c r="A27" s="12" t="s">
        <v>90</v>
      </c>
      <c r="C27" s="8" t="s">
        <v>38</v>
      </c>
      <c r="E27" s="19">
        <v>33</v>
      </c>
      <c r="F27" s="20"/>
      <c r="G27" s="19">
        <f>100/(1-E27/100)</f>
        <v>149.2537313432836</v>
      </c>
      <c r="H27" s="22"/>
      <c r="I27" s="21">
        <v>100</v>
      </c>
      <c r="J27" s="23"/>
      <c r="K27" s="22">
        <v>12.5</v>
      </c>
      <c r="L27" s="20"/>
      <c r="M27" s="19">
        <v>12.5</v>
      </c>
      <c r="N27" s="19"/>
      <c r="O27" s="19"/>
      <c r="P27" s="19"/>
      <c r="Q27" s="19"/>
      <c r="R27" s="19"/>
      <c r="S27" s="19"/>
      <c r="T27" s="20"/>
      <c r="U27" s="19">
        <f t="shared" si="6"/>
        <v>12.5</v>
      </c>
      <c r="V27" s="19"/>
      <c r="W27" s="22">
        <f t="shared" si="5"/>
        <v>41.375</v>
      </c>
      <c r="X27" s="20"/>
      <c r="Y27" s="22">
        <f>((G27-I27)/((G27-I27)+U27))*100</f>
        <v>79.7583081570997</v>
      </c>
      <c r="AA27" s="22">
        <f>(U27/((G27-I27)+U27))*100</f>
        <v>20.241691842900302</v>
      </c>
    </row>
    <row r="28" spans="1:27" ht="12.75">
      <c r="A28" s="12" t="s">
        <v>91</v>
      </c>
      <c r="C28" s="8" t="s">
        <v>29</v>
      </c>
      <c r="E28" s="19">
        <v>39.54</v>
      </c>
      <c r="G28" s="19">
        <f t="shared" si="4"/>
        <v>165.3986106516705</v>
      </c>
      <c r="H28" s="8"/>
      <c r="I28" s="21">
        <v>100</v>
      </c>
      <c r="J28" s="21"/>
      <c r="K28" s="19">
        <v>10</v>
      </c>
      <c r="M28" s="19">
        <v>10</v>
      </c>
      <c r="N28" s="19"/>
      <c r="O28" s="19"/>
      <c r="P28" s="8"/>
      <c r="Q28" s="19"/>
      <c r="R28" s="19"/>
      <c r="S28" s="19"/>
      <c r="U28" s="19">
        <f t="shared" si="6"/>
        <v>10</v>
      </c>
      <c r="V28" s="8"/>
      <c r="W28" s="22">
        <f t="shared" si="5"/>
        <v>45.58599999999999</v>
      </c>
      <c r="X28" s="19"/>
      <c r="Y28" s="22">
        <f t="shared" si="7"/>
        <v>86.7371561444303</v>
      </c>
      <c r="Z28" s="20"/>
      <c r="AA28" s="22">
        <f t="shared" si="8"/>
        <v>13.262843855569695</v>
      </c>
    </row>
    <row r="29" spans="1:27" ht="12.75">
      <c r="A29" s="12" t="s">
        <v>15</v>
      </c>
      <c r="C29" s="8" t="s">
        <v>6</v>
      </c>
      <c r="E29" s="19">
        <v>27.5</v>
      </c>
      <c r="G29" s="19">
        <f>100/(1-E29/100)</f>
        <v>137.93103448275863</v>
      </c>
      <c r="H29" s="8"/>
      <c r="I29" s="21">
        <v>100</v>
      </c>
      <c r="J29" s="33"/>
      <c r="K29" s="19"/>
      <c r="L29" s="19"/>
      <c r="M29" s="19">
        <v>38.5</v>
      </c>
      <c r="N29" s="20"/>
      <c r="O29" s="19">
        <v>115</v>
      </c>
      <c r="Q29" s="19">
        <f>(O29-100)/O29*100</f>
        <v>13.043478260869565</v>
      </c>
      <c r="R29" s="19"/>
      <c r="S29" s="19">
        <f>+O29*Q29/100</f>
        <v>15</v>
      </c>
      <c r="U29" s="19">
        <f t="shared" si="6"/>
        <v>29.275</v>
      </c>
      <c r="V29" s="8"/>
      <c r="W29" s="22">
        <f t="shared" si="5"/>
        <v>48.72437500000001</v>
      </c>
      <c r="X29" s="30"/>
      <c r="Y29" s="22">
        <f>((G29-I29)/((G29-I29)+U29))*100</f>
        <v>56.4399235495581</v>
      </c>
      <c r="AA29" s="22">
        <f>(U29/((G29-I29)+U29))*100</f>
        <v>43.56007645044188</v>
      </c>
    </row>
    <row r="30" spans="1:27" ht="12.75">
      <c r="A30" s="12" t="s">
        <v>16</v>
      </c>
      <c r="C30" s="8" t="s">
        <v>25</v>
      </c>
      <c r="E30" s="19">
        <v>30.4</v>
      </c>
      <c r="F30" s="20"/>
      <c r="G30" s="19">
        <f t="shared" si="4"/>
        <v>143.67816091954023</v>
      </c>
      <c r="H30" s="22"/>
      <c r="I30" s="21">
        <v>100</v>
      </c>
      <c r="J30" s="23"/>
      <c r="K30" s="22"/>
      <c r="L30" s="20"/>
      <c r="M30" s="19">
        <v>38.95</v>
      </c>
      <c r="N30" s="19"/>
      <c r="O30" s="19"/>
      <c r="P30" s="19"/>
      <c r="Q30" s="19"/>
      <c r="R30" s="19"/>
      <c r="S30" s="19"/>
      <c r="T30" s="20"/>
      <c r="U30" s="19">
        <f>I30/2*M30/100</f>
        <v>19.475</v>
      </c>
      <c r="V30" s="19"/>
      <c r="W30" s="22">
        <f t="shared" si="5"/>
        <v>43.954600000000006</v>
      </c>
      <c r="X30" s="20"/>
      <c r="Y30" s="22">
        <f t="shared" si="7"/>
        <v>69.16227198063456</v>
      </c>
      <c r="AA30" s="22">
        <f t="shared" si="8"/>
        <v>30.837728019365436</v>
      </c>
    </row>
    <row r="31" spans="1:27" ht="12.75">
      <c r="A31" s="12" t="s">
        <v>17</v>
      </c>
      <c r="C31" s="8" t="s">
        <v>2</v>
      </c>
      <c r="E31" s="19">
        <v>28</v>
      </c>
      <c r="F31" s="20"/>
      <c r="G31" s="19">
        <f t="shared" si="4"/>
        <v>138.88888888888889</v>
      </c>
      <c r="H31" s="19"/>
      <c r="I31" s="21">
        <v>100</v>
      </c>
      <c r="J31" s="21"/>
      <c r="K31" s="19"/>
      <c r="L31" s="20"/>
      <c r="M31" s="19">
        <v>28</v>
      </c>
      <c r="N31" s="19"/>
      <c r="O31" s="19">
        <f>100/(1-M31/100)</f>
        <v>138.88888888888889</v>
      </c>
      <c r="P31" s="19"/>
      <c r="Q31" s="19">
        <f>+((G31-100)/G31)*100</f>
        <v>27.999999999999996</v>
      </c>
      <c r="R31" s="19"/>
      <c r="S31" s="19">
        <f>I31*(Q31/(100-Q31))</f>
        <v>38.888888888888886</v>
      </c>
      <c r="T31" s="20"/>
      <c r="U31" s="19">
        <f>((Q31/100)*O31)-S31</f>
        <v>0</v>
      </c>
      <c r="V31" s="19"/>
      <c r="W31" s="22">
        <f>(G31-I31+U31)/G31*100</f>
        <v>27.999999999999996</v>
      </c>
      <c r="X31" s="20"/>
      <c r="Y31" s="22">
        <f aca="true" t="shared" si="9" ref="Y31:Y42">((G31-I31)/((G31-I31)+U31))*100</f>
        <v>100</v>
      </c>
      <c r="AA31" s="22">
        <f aca="true" t="shared" si="10" ref="AA31:AA42">(U31/((G31-I31)+U31))*100</f>
        <v>0</v>
      </c>
    </row>
    <row r="32" spans="1:27" ht="12.75">
      <c r="A32" s="12" t="s">
        <v>99</v>
      </c>
      <c r="C32" s="8" t="s">
        <v>4</v>
      </c>
      <c r="E32" s="19">
        <v>25.5</v>
      </c>
      <c r="F32" s="20"/>
      <c r="G32" s="19">
        <f t="shared" si="4"/>
        <v>134.2281879194631</v>
      </c>
      <c r="H32" s="19"/>
      <c r="I32" s="21">
        <v>100</v>
      </c>
      <c r="J32" s="21"/>
      <c r="K32" s="19"/>
      <c r="L32" s="20"/>
      <c r="M32" s="19">
        <v>22</v>
      </c>
      <c r="N32" s="19"/>
      <c r="O32" s="19"/>
      <c r="P32" s="19"/>
      <c r="Q32" s="19"/>
      <c r="R32" s="19"/>
      <c r="S32" s="19"/>
      <c r="T32" s="20"/>
      <c r="U32" s="19">
        <f aca="true" t="shared" si="11" ref="U32:U41">+(M32/100)*MAX(I32,O32)-S32</f>
        <v>22</v>
      </c>
      <c r="V32" s="19"/>
      <c r="W32" s="22">
        <f t="shared" si="5"/>
        <v>41.89000000000001</v>
      </c>
      <c r="X32" s="20"/>
      <c r="Y32" s="22">
        <f t="shared" si="9"/>
        <v>60.87371687753641</v>
      </c>
      <c r="AA32" s="22">
        <f t="shared" si="10"/>
        <v>39.12628312246359</v>
      </c>
    </row>
    <row r="33" spans="1:27" ht="12.75">
      <c r="A33" s="12" t="s">
        <v>100</v>
      </c>
      <c r="C33" s="8" t="s">
        <v>2</v>
      </c>
      <c r="E33" s="19">
        <v>33</v>
      </c>
      <c r="F33" s="20"/>
      <c r="G33" s="19">
        <f t="shared" si="4"/>
        <v>149.2537313432836</v>
      </c>
      <c r="H33" s="19"/>
      <c r="I33" s="21">
        <v>100</v>
      </c>
      <c r="J33" s="21"/>
      <c r="K33" s="19"/>
      <c r="L33" s="20"/>
      <c r="M33" s="19">
        <v>39</v>
      </c>
      <c r="N33" s="19"/>
      <c r="O33" s="19">
        <v>149.3</v>
      </c>
      <c r="P33" s="19"/>
      <c r="Q33" s="19">
        <f>(O33-100)/O33*100</f>
        <v>33.02076356329538</v>
      </c>
      <c r="R33" s="19"/>
      <c r="S33" s="19">
        <f>+O33*Q33/100</f>
        <v>49.30000000000001</v>
      </c>
      <c r="T33" s="20"/>
      <c r="U33" s="19">
        <f>+(M33/100)*MAX(I33,O33)-S33</f>
        <v>8.926999999999992</v>
      </c>
      <c r="V33" s="19"/>
      <c r="W33" s="22">
        <f t="shared" si="5"/>
        <v>38.981089999999995</v>
      </c>
      <c r="X33" s="20"/>
      <c r="Y33" s="22">
        <f t="shared" si="9"/>
        <v>84.6564321315797</v>
      </c>
      <c r="AA33" s="22">
        <f t="shared" si="10"/>
        <v>15.34356786842029</v>
      </c>
    </row>
    <row r="34" spans="1:27" ht="12.75">
      <c r="A34" s="12" t="s">
        <v>101</v>
      </c>
      <c r="C34" s="8" t="s">
        <v>27</v>
      </c>
      <c r="E34" s="19">
        <v>28</v>
      </c>
      <c r="F34" s="20"/>
      <c r="G34" s="19">
        <f t="shared" si="4"/>
        <v>138.88888888888889</v>
      </c>
      <c r="H34" s="19"/>
      <c r="I34" s="21">
        <v>100</v>
      </c>
      <c r="J34" s="21"/>
      <c r="K34" s="19"/>
      <c r="L34" s="20"/>
      <c r="M34" s="19">
        <v>28</v>
      </c>
      <c r="N34" s="19"/>
      <c r="O34" s="19"/>
      <c r="P34" s="19"/>
      <c r="Q34" s="19"/>
      <c r="R34" s="19"/>
      <c r="S34" s="19"/>
      <c r="T34" s="20"/>
      <c r="U34" s="19">
        <f t="shared" si="11"/>
        <v>28.000000000000004</v>
      </c>
      <c r="V34" s="19"/>
      <c r="W34" s="22">
        <f>(G34-I34+U34)/G34*100</f>
        <v>48.16</v>
      </c>
      <c r="X34" s="20"/>
      <c r="Y34" s="22">
        <f t="shared" si="9"/>
        <v>58.139534883720934</v>
      </c>
      <c r="AA34" s="22">
        <f t="shared" si="10"/>
        <v>41.86046511627908</v>
      </c>
    </row>
    <row r="35" spans="1:27" ht="12.75">
      <c r="A35" s="12" t="s">
        <v>36</v>
      </c>
      <c r="C35" s="8" t="s">
        <v>29</v>
      </c>
      <c r="E35" s="19">
        <v>19</v>
      </c>
      <c r="F35" s="20"/>
      <c r="G35" s="19">
        <f aca="true" t="shared" si="12" ref="G35:G42">100/(1-E35/100)</f>
        <v>123.45679012345678</v>
      </c>
      <c r="H35" s="22"/>
      <c r="I35" s="21">
        <v>100</v>
      </c>
      <c r="J35" s="23"/>
      <c r="K35" s="19">
        <v>19</v>
      </c>
      <c r="L35" s="19">
        <v>15</v>
      </c>
      <c r="M35" s="19">
        <v>19</v>
      </c>
      <c r="N35" s="19"/>
      <c r="O35" s="19"/>
      <c r="P35" s="19"/>
      <c r="Q35" s="19"/>
      <c r="R35" s="19"/>
      <c r="S35" s="19"/>
      <c r="T35" s="20"/>
      <c r="U35" s="19">
        <f t="shared" si="11"/>
        <v>19</v>
      </c>
      <c r="V35" s="19"/>
      <c r="W35" s="22">
        <f t="shared" si="5"/>
        <v>34.39</v>
      </c>
      <c r="X35" s="20"/>
      <c r="Y35" s="22">
        <f t="shared" si="9"/>
        <v>55.24861878453038</v>
      </c>
      <c r="AA35" s="22">
        <f t="shared" si="10"/>
        <v>44.75138121546962</v>
      </c>
    </row>
    <row r="36" spans="1:27" ht="12.75">
      <c r="A36" s="12" t="s">
        <v>20</v>
      </c>
      <c r="C36" s="8" t="s">
        <v>29</v>
      </c>
      <c r="E36" s="19">
        <v>26.5</v>
      </c>
      <c r="F36" s="20"/>
      <c r="G36" s="19">
        <f t="shared" si="12"/>
        <v>136.0544217687075</v>
      </c>
      <c r="H36" s="19"/>
      <c r="I36" s="21">
        <v>100</v>
      </c>
      <c r="J36" s="21"/>
      <c r="K36" s="19">
        <v>20</v>
      </c>
      <c r="L36" s="20"/>
      <c r="M36" s="19">
        <v>20</v>
      </c>
      <c r="N36" s="19"/>
      <c r="O36" s="19"/>
      <c r="P36" s="19"/>
      <c r="Q36" s="19"/>
      <c r="R36" s="19"/>
      <c r="S36" s="19"/>
      <c r="T36" s="20"/>
      <c r="U36" s="19">
        <f t="shared" si="11"/>
        <v>20</v>
      </c>
      <c r="V36" s="19"/>
      <c r="W36" s="22">
        <f aca="true" t="shared" si="13" ref="W36:W42">(G36-I36+U36)/G36*100</f>
        <v>41.20000000000001</v>
      </c>
      <c r="X36" s="20"/>
      <c r="Y36" s="22">
        <f t="shared" si="9"/>
        <v>64.32038834951457</v>
      </c>
      <c r="AA36" s="22">
        <f t="shared" si="10"/>
        <v>35.67961165048543</v>
      </c>
    </row>
    <row r="37" spans="1:27" ht="12.75">
      <c r="A37" s="12" t="s">
        <v>21</v>
      </c>
      <c r="C37" s="8" t="s">
        <v>30</v>
      </c>
      <c r="E37" s="19">
        <v>19</v>
      </c>
      <c r="F37" s="20"/>
      <c r="G37" s="19">
        <f t="shared" si="12"/>
        <v>123.45679012345678</v>
      </c>
      <c r="H37" s="22"/>
      <c r="I37" s="21">
        <v>100</v>
      </c>
      <c r="J37" s="23"/>
      <c r="K37" s="22"/>
      <c r="L37" s="20"/>
      <c r="M37" s="19">
        <v>0</v>
      </c>
      <c r="N37" s="19"/>
      <c r="O37" s="19"/>
      <c r="P37" s="19"/>
      <c r="Q37" s="19"/>
      <c r="R37" s="19"/>
      <c r="S37" s="19"/>
      <c r="T37" s="20"/>
      <c r="U37" s="19">
        <f t="shared" si="11"/>
        <v>0</v>
      </c>
      <c r="V37" s="19"/>
      <c r="W37" s="22">
        <f t="shared" si="13"/>
        <v>18.999999999999996</v>
      </c>
      <c r="X37" s="20"/>
      <c r="Y37" s="22">
        <f t="shared" si="9"/>
        <v>100</v>
      </c>
      <c r="AA37" s="22">
        <f t="shared" si="10"/>
        <v>0</v>
      </c>
    </row>
    <row r="38" spans="1:27" ht="12.75">
      <c r="A38" s="12" t="s">
        <v>42</v>
      </c>
      <c r="C38" s="8" t="s">
        <v>4</v>
      </c>
      <c r="E38" s="8">
        <v>23</v>
      </c>
      <c r="G38" s="19">
        <v>129.87012987012986</v>
      </c>
      <c r="H38" s="24"/>
      <c r="I38" s="21">
        <v>100</v>
      </c>
      <c r="J38" s="23"/>
      <c r="K38" s="24"/>
      <c r="M38" s="19">
        <v>20</v>
      </c>
      <c r="N38" s="19"/>
      <c r="O38" s="19"/>
      <c r="P38" s="19"/>
      <c r="Q38" s="19"/>
      <c r="R38" s="19"/>
      <c r="S38" s="19"/>
      <c r="T38" s="20"/>
      <c r="U38" s="19">
        <v>20</v>
      </c>
      <c r="V38" s="19"/>
      <c r="W38" s="22">
        <v>38.4</v>
      </c>
      <c r="X38" s="20"/>
      <c r="Y38" s="22">
        <v>59.89583333333333</v>
      </c>
      <c r="Z38" s="20"/>
      <c r="AA38" s="22">
        <v>40.10416666666667</v>
      </c>
    </row>
    <row r="39" spans="1:27" ht="12.75">
      <c r="A39" s="12" t="s">
        <v>102</v>
      </c>
      <c r="C39" s="8" t="s">
        <v>29</v>
      </c>
      <c r="D39" s="8"/>
      <c r="E39" s="8">
        <v>32.5</v>
      </c>
      <c r="F39" s="8"/>
      <c r="G39" s="19">
        <f t="shared" si="12"/>
        <v>148.14814814814815</v>
      </c>
      <c r="H39" s="8"/>
      <c r="I39" s="21">
        <v>100</v>
      </c>
      <c r="J39" s="21"/>
      <c r="K39" s="8"/>
      <c r="L39" s="8"/>
      <c r="M39" s="19">
        <v>18</v>
      </c>
      <c r="N39" s="8"/>
      <c r="O39" s="8"/>
      <c r="P39" s="8"/>
      <c r="Q39" s="19"/>
      <c r="R39" s="8"/>
      <c r="S39" s="19"/>
      <c r="T39" s="8"/>
      <c r="U39" s="19">
        <f t="shared" si="11"/>
        <v>18</v>
      </c>
      <c r="V39" s="8"/>
      <c r="W39" s="22">
        <f t="shared" si="13"/>
        <v>44.65</v>
      </c>
      <c r="X39" s="8"/>
      <c r="Y39" s="22">
        <f t="shared" si="9"/>
        <v>72.78835386338186</v>
      </c>
      <c r="Z39" s="8"/>
      <c r="AA39" s="22">
        <f t="shared" si="10"/>
        <v>27.21164613661814</v>
      </c>
    </row>
    <row r="40" spans="1:27" ht="12.75">
      <c r="A40" s="12" t="s">
        <v>23</v>
      </c>
      <c r="C40" s="8" t="s">
        <v>4</v>
      </c>
      <c r="E40" s="19">
        <v>28</v>
      </c>
      <c r="F40" s="20"/>
      <c r="G40" s="19">
        <f t="shared" si="12"/>
        <v>138.88888888888889</v>
      </c>
      <c r="H40" s="19"/>
      <c r="I40" s="21">
        <v>100</v>
      </c>
      <c r="J40" s="21"/>
      <c r="K40" s="19"/>
      <c r="L40" s="20"/>
      <c r="M40" s="19">
        <v>30</v>
      </c>
      <c r="N40" s="19"/>
      <c r="O40" s="19"/>
      <c r="P40" s="19"/>
      <c r="Q40" s="19"/>
      <c r="R40" s="19"/>
      <c r="S40" s="19"/>
      <c r="T40" s="20"/>
      <c r="U40" s="19">
        <f t="shared" si="11"/>
        <v>30</v>
      </c>
      <c r="V40" s="19"/>
      <c r="W40" s="22">
        <f t="shared" si="13"/>
        <v>49.6</v>
      </c>
      <c r="X40" s="20"/>
      <c r="Y40" s="22">
        <f t="shared" si="9"/>
        <v>56.4516129032258</v>
      </c>
      <c r="AA40" s="22">
        <f t="shared" si="10"/>
        <v>43.54838709677419</v>
      </c>
    </row>
    <row r="41" spans="1:27" ht="12.75">
      <c r="A41" s="12" t="s">
        <v>103</v>
      </c>
      <c r="C41" s="8" t="s">
        <v>33</v>
      </c>
      <c r="E41" s="19">
        <v>21.32327949747605</v>
      </c>
      <c r="F41" s="20"/>
      <c r="G41" s="19">
        <f t="shared" si="12"/>
        <v>127.1024</v>
      </c>
      <c r="H41" s="19"/>
      <c r="I41" s="21">
        <v>100</v>
      </c>
      <c r="J41" s="21"/>
      <c r="K41" s="19"/>
      <c r="L41" s="20"/>
      <c r="M41" s="19">
        <f>13*(1+1.22)+11.5</f>
        <v>40.36</v>
      </c>
      <c r="N41" s="19"/>
      <c r="O41" s="19"/>
      <c r="P41" s="19"/>
      <c r="Q41" s="19"/>
      <c r="R41" s="19"/>
      <c r="S41" s="19"/>
      <c r="T41" s="20"/>
      <c r="U41" s="19">
        <f t="shared" si="11"/>
        <v>40.36</v>
      </c>
      <c r="V41" s="19"/>
      <c r="W41" s="22">
        <f t="shared" si="13"/>
        <v>53.07720389229472</v>
      </c>
      <c r="X41" s="20"/>
      <c r="Y41" s="22">
        <f t="shared" si="9"/>
        <v>40.17408215539323</v>
      </c>
      <c r="AA41" s="22">
        <f t="shared" si="10"/>
        <v>59.82591784460677</v>
      </c>
    </row>
    <row r="42" spans="1:27" ht="12.75">
      <c r="A42" s="12" t="s">
        <v>24</v>
      </c>
      <c r="C42" s="8" t="s">
        <v>25</v>
      </c>
      <c r="E42" s="19">
        <v>20</v>
      </c>
      <c r="F42" s="20"/>
      <c r="G42" s="19">
        <f t="shared" si="12"/>
        <v>125</v>
      </c>
      <c r="H42" s="19"/>
      <c r="I42" s="21">
        <v>100</v>
      </c>
      <c r="J42" s="21"/>
      <c r="K42" s="32"/>
      <c r="L42" s="20"/>
      <c r="M42" s="19">
        <v>35</v>
      </c>
      <c r="N42" s="19"/>
      <c r="O42" s="19"/>
      <c r="P42" s="19"/>
      <c r="Q42" s="19"/>
      <c r="R42" s="19"/>
      <c r="S42" s="19"/>
      <c r="T42" s="20"/>
      <c r="U42" s="19">
        <f>(I42/2*M42/100)-(I42*15/100)+(I42*15/100)</f>
        <v>17.5</v>
      </c>
      <c r="V42" s="19"/>
      <c r="W42" s="22">
        <f t="shared" si="13"/>
        <v>34</v>
      </c>
      <c r="X42" s="20"/>
      <c r="Y42" s="22">
        <f t="shared" si="9"/>
        <v>58.82352941176471</v>
      </c>
      <c r="Z42" s="22" t="e">
        <f>(H42-J42)/(H42-J42+L42+V42)*100</f>
        <v>#DIV/0!</v>
      </c>
      <c r="AA42" s="22">
        <f t="shared" si="10"/>
        <v>41.17647058823529</v>
      </c>
    </row>
    <row r="43" spans="1:27" ht="12.75">
      <c r="A43" s="12" t="s">
        <v>104</v>
      </c>
      <c r="C43" s="8" t="s">
        <v>6</v>
      </c>
      <c r="D43" s="8"/>
      <c r="E43" s="19">
        <v>30</v>
      </c>
      <c r="F43" s="20"/>
      <c r="G43" s="19">
        <f>100/(1-E43/100)</f>
        <v>142.85714285714286</v>
      </c>
      <c r="H43" s="19"/>
      <c r="I43" s="21">
        <v>100</v>
      </c>
      <c r="J43" s="21"/>
      <c r="K43" s="19"/>
      <c r="L43" s="20"/>
      <c r="M43" s="19">
        <v>32.5</v>
      </c>
      <c r="N43" s="19"/>
      <c r="O43" s="19">
        <v>111.11</v>
      </c>
      <c r="P43" s="19"/>
      <c r="Q43" s="19">
        <f>(O43-100)/O43*100</f>
        <v>9.99909999099991</v>
      </c>
      <c r="R43" s="19"/>
      <c r="S43" s="19">
        <f>+I43*(Q43/(100-Q43))</f>
        <v>11.110000000000001</v>
      </c>
      <c r="T43" s="20"/>
      <c r="U43" s="19">
        <f>+(M43/100)*MAX(I43,O43)-S43</f>
        <v>25.000750000000004</v>
      </c>
      <c r="V43" s="19"/>
      <c r="W43" s="22">
        <f>(G43-I43+U43)/G43*100</f>
        <v>47.50052500000001</v>
      </c>
      <c r="X43" s="22"/>
      <c r="Y43" s="22">
        <f>((G43-I43)/((G43-I43)+U43))*100</f>
        <v>63.15719668361559</v>
      </c>
      <c r="Z43" s="20"/>
      <c r="AA43" s="22">
        <f>(U43/((G43-I43)+U43))*100</f>
        <v>36.84280331638439</v>
      </c>
    </row>
    <row r="44" spans="1:27" ht="16.5">
      <c r="A44" s="12" t="s">
        <v>105</v>
      </c>
      <c r="C44" s="8" t="s">
        <v>29</v>
      </c>
      <c r="E44" s="19">
        <v>39.3</v>
      </c>
      <c r="F44" s="20"/>
      <c r="G44" s="19">
        <f>100/(1-E44/100)</f>
        <v>164.74464579901155</v>
      </c>
      <c r="H44" s="19"/>
      <c r="I44" s="21">
        <v>100</v>
      </c>
      <c r="J44" s="21"/>
      <c r="K44" s="19"/>
      <c r="L44" s="20"/>
      <c r="M44" s="19">
        <v>21</v>
      </c>
      <c r="N44" s="19"/>
      <c r="O44" s="19"/>
      <c r="P44" s="19"/>
      <c r="Q44" s="19"/>
      <c r="R44" s="19"/>
      <c r="S44" s="19"/>
      <c r="T44" s="20"/>
      <c r="U44" s="19">
        <f>+(M44/100)*MAX(I44,O44)-S44</f>
        <v>21</v>
      </c>
      <c r="V44" s="19"/>
      <c r="W44" s="22">
        <f>(G44-I44+U44)/G44*100</f>
        <v>52.04700000000001</v>
      </c>
      <c r="X44" s="20"/>
      <c r="Y44" s="22">
        <f>((G44-I44)/((G44-I44)+U44))*100</f>
        <v>75.50867485157646</v>
      </c>
      <c r="AA44" s="22">
        <f>(U44/((G44-I44)+U44))*100</f>
        <v>24.491325148423535</v>
      </c>
    </row>
    <row r="45" spans="1:27" ht="15.75" thickBot="1">
      <c r="A45" s="28"/>
      <c r="B45" s="28"/>
      <c r="C45" s="28"/>
      <c r="D45" s="28"/>
      <c r="E45" s="28"/>
      <c r="F45" s="28"/>
      <c r="G45" s="28"/>
      <c r="H45" s="28"/>
      <c r="I45" s="28"/>
      <c r="J45" s="28"/>
      <c r="K45" s="28"/>
      <c r="L45" s="28"/>
      <c r="M45" s="28"/>
      <c r="N45" s="28"/>
      <c r="O45" s="28"/>
      <c r="P45" s="28"/>
      <c r="Q45" s="28"/>
      <c r="R45" s="28"/>
      <c r="S45" s="28"/>
      <c r="T45" s="28"/>
      <c r="U45" s="29"/>
      <c r="V45" s="28"/>
      <c r="W45" s="28"/>
      <c r="X45" s="28"/>
      <c r="Y45" s="28"/>
      <c r="Z45" s="28"/>
      <c r="AA45" s="28"/>
    </row>
    <row r="46" ht="15">
      <c r="U46" s="4"/>
    </row>
  </sheetData>
  <sheetProtection/>
  <mergeCells count="13">
    <mergeCell ref="AA5:AA8"/>
    <mergeCell ref="S5:S8"/>
    <mergeCell ref="U5:U8"/>
    <mergeCell ref="W5:W8"/>
    <mergeCell ref="Y5:Y8"/>
    <mergeCell ref="K5:K8"/>
    <mergeCell ref="M5:M8"/>
    <mergeCell ref="O5:O8"/>
    <mergeCell ref="Q5:Q8"/>
    <mergeCell ref="C5:C8"/>
    <mergeCell ref="E5:E8"/>
    <mergeCell ref="G5:G8"/>
    <mergeCell ref="I5:I8"/>
  </mergeCells>
  <printOptions/>
  <pageMargins left="0.25" right="0.25" top="1" bottom="1" header="0.3" footer="0.3"/>
  <pageSetup fitToHeight="1" fitToWidth="1" horizontalDpi="600" verticalDpi="600" orientation="portrait" paperSize="9" scale="46"/>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B46"/>
  <sheetViews>
    <sheetView showGridLines="0" zoomScalePageLayoutView="0" workbookViewId="0" topLeftCell="A31">
      <selection activeCell="A1" sqref="A1:IV65536"/>
    </sheetView>
  </sheetViews>
  <sheetFormatPr defaultColWidth="9.140625" defaultRowHeight="12.75"/>
  <cols>
    <col min="1" max="1" width="17.2812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7.140625" style="2" customWidth="1"/>
    <col min="10" max="10" width="0.85546875" style="2" customWidth="1"/>
    <col min="11" max="11" width="7.710937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421875" style="2" customWidth="1"/>
    <col min="18" max="18" width="0.85546875" style="2" customWidth="1"/>
    <col min="19" max="19" width="12.421875" style="2" customWidth="1"/>
    <col min="20" max="20" width="0.85546875" style="2" customWidth="1"/>
    <col min="21" max="21" width="8.7109375" style="2" customWidth="1"/>
    <col min="22" max="22" width="0.85546875" style="2" customWidth="1"/>
    <col min="23" max="23" width="7.421875" style="2" customWidth="1"/>
    <col min="24" max="24" width="0.9921875" style="2" customWidth="1"/>
    <col min="25" max="25" width="7.7109375" style="2" customWidth="1"/>
    <col min="26" max="26" width="1.28515625" style="2" customWidth="1"/>
    <col min="27" max="27" width="7.8515625" style="2" customWidth="1"/>
    <col min="28" max="16384" width="9.140625" style="2" customWidth="1"/>
  </cols>
  <sheetData>
    <row r="1" spans="1:21" ht="15">
      <c r="A1" s="1">
        <v>41680</v>
      </c>
      <c r="C1" s="3"/>
      <c r="U1" s="4"/>
    </row>
    <row r="2" spans="1:27" ht="16.5">
      <c r="A2" s="5" t="s">
        <v>86</v>
      </c>
      <c r="B2" s="6"/>
      <c r="C2" s="6"/>
      <c r="D2" s="6"/>
      <c r="E2" s="6"/>
      <c r="F2" s="6"/>
      <c r="G2" s="6"/>
      <c r="H2" s="6"/>
      <c r="I2" s="6"/>
      <c r="J2" s="6"/>
      <c r="K2" s="6"/>
      <c r="L2" s="6"/>
      <c r="M2" s="6"/>
      <c r="N2" s="6"/>
      <c r="O2" s="6"/>
      <c r="P2" s="6"/>
      <c r="Q2" s="6"/>
      <c r="R2" s="6"/>
      <c r="S2" s="6"/>
      <c r="T2" s="6"/>
      <c r="U2" s="6"/>
      <c r="V2" s="6"/>
      <c r="W2" s="6"/>
      <c r="X2" s="6"/>
      <c r="Y2" s="6"/>
      <c r="Z2" s="6"/>
      <c r="AA2" s="6"/>
    </row>
    <row r="3" spans="1:27" ht="15.75" thickBot="1">
      <c r="A3" s="7"/>
      <c r="B3" s="7"/>
      <c r="C3" s="7"/>
      <c r="D3" s="7"/>
      <c r="E3" s="7"/>
      <c r="F3" s="7"/>
      <c r="G3" s="7"/>
      <c r="H3" s="7"/>
      <c r="I3" s="7"/>
      <c r="J3" s="7"/>
      <c r="K3" s="7"/>
      <c r="L3" s="7"/>
      <c r="M3" s="7"/>
      <c r="N3" s="7"/>
      <c r="O3" s="7"/>
      <c r="P3" s="7"/>
      <c r="Q3" s="7"/>
      <c r="R3" s="7"/>
      <c r="S3" s="7"/>
      <c r="T3" s="7"/>
      <c r="U3" s="7"/>
      <c r="V3" s="7"/>
      <c r="W3" s="7"/>
      <c r="X3" s="7"/>
      <c r="Y3" s="7"/>
      <c r="Z3" s="7"/>
      <c r="AA3" s="7"/>
    </row>
    <row r="4" ht="15">
      <c r="U4" s="4"/>
    </row>
    <row r="5" spans="1:27" ht="15">
      <c r="A5" s="9"/>
      <c r="B5" s="9"/>
      <c r="C5" s="51" t="s">
        <v>0</v>
      </c>
      <c r="D5" s="10"/>
      <c r="E5" s="51" t="s">
        <v>46</v>
      </c>
      <c r="F5" s="11"/>
      <c r="G5" s="51" t="s">
        <v>47</v>
      </c>
      <c r="H5" s="11"/>
      <c r="I5" s="51" t="s">
        <v>48</v>
      </c>
      <c r="J5" s="10"/>
      <c r="K5" s="51" t="s">
        <v>78</v>
      </c>
      <c r="L5" s="11"/>
      <c r="M5" s="51" t="s">
        <v>50</v>
      </c>
      <c r="N5" s="10"/>
      <c r="O5" s="51" t="s">
        <v>51</v>
      </c>
      <c r="P5" s="11"/>
      <c r="Q5" s="51" t="s">
        <v>52</v>
      </c>
      <c r="R5" s="11"/>
      <c r="S5" s="51" t="s">
        <v>53</v>
      </c>
      <c r="T5" s="11"/>
      <c r="U5" s="51" t="s">
        <v>54</v>
      </c>
      <c r="V5" s="10"/>
      <c r="W5" s="51" t="s">
        <v>55</v>
      </c>
      <c r="X5" s="12"/>
      <c r="Y5" s="51" t="s">
        <v>56</v>
      </c>
      <c r="Z5" s="12"/>
      <c r="AA5" s="51" t="s">
        <v>57</v>
      </c>
    </row>
    <row r="6" spans="1:27" ht="15">
      <c r="A6" s="12"/>
      <c r="B6" s="9"/>
      <c r="C6" s="52"/>
      <c r="D6" s="10"/>
      <c r="E6" s="52"/>
      <c r="F6" s="11"/>
      <c r="G6" s="52"/>
      <c r="H6" s="11"/>
      <c r="I6" s="52"/>
      <c r="J6" s="10"/>
      <c r="K6" s="52"/>
      <c r="L6" s="11"/>
      <c r="M6" s="52"/>
      <c r="N6" s="13"/>
      <c r="O6" s="52"/>
      <c r="P6" s="11"/>
      <c r="Q6" s="52"/>
      <c r="R6" s="11"/>
      <c r="S6" s="52"/>
      <c r="T6" s="11"/>
      <c r="U6" s="52"/>
      <c r="V6" s="10"/>
      <c r="W6" s="52"/>
      <c r="X6" s="12"/>
      <c r="Y6" s="52"/>
      <c r="Z6" s="12"/>
      <c r="AA6" s="52"/>
    </row>
    <row r="7" spans="1:27" ht="15">
      <c r="A7" s="14"/>
      <c r="B7" s="9"/>
      <c r="C7" s="52"/>
      <c r="D7" s="10"/>
      <c r="E7" s="52"/>
      <c r="F7" s="11"/>
      <c r="G7" s="52"/>
      <c r="H7" s="11"/>
      <c r="I7" s="52"/>
      <c r="J7" s="10"/>
      <c r="K7" s="52"/>
      <c r="L7" s="11"/>
      <c r="M7" s="52"/>
      <c r="N7" s="13"/>
      <c r="O7" s="52"/>
      <c r="P7" s="11"/>
      <c r="Q7" s="52"/>
      <c r="R7" s="11"/>
      <c r="S7" s="52"/>
      <c r="T7" s="11"/>
      <c r="U7" s="52"/>
      <c r="V7" s="10"/>
      <c r="W7" s="52"/>
      <c r="X7" s="12"/>
      <c r="Y7" s="52"/>
      <c r="Z7" s="12"/>
      <c r="AA7" s="52"/>
    </row>
    <row r="8" spans="1:27" ht="15">
      <c r="A8" s="14" t="s">
        <v>1</v>
      </c>
      <c r="B8" s="9"/>
      <c r="C8" s="52"/>
      <c r="D8" s="10"/>
      <c r="E8" s="52"/>
      <c r="F8" s="11"/>
      <c r="G8" s="52"/>
      <c r="H8" s="11"/>
      <c r="I8" s="52"/>
      <c r="J8" s="10"/>
      <c r="K8" s="52"/>
      <c r="L8" s="11"/>
      <c r="M8" s="52"/>
      <c r="N8" s="13"/>
      <c r="O8" s="52"/>
      <c r="P8" s="11"/>
      <c r="Q8" s="52"/>
      <c r="R8" s="11"/>
      <c r="S8" s="52"/>
      <c r="T8" s="11"/>
      <c r="U8" s="52"/>
      <c r="V8" s="10"/>
      <c r="W8" s="52"/>
      <c r="X8" s="12"/>
      <c r="Y8" s="52"/>
      <c r="Z8" s="12"/>
      <c r="AA8" s="52"/>
    </row>
    <row r="9" spans="1:27" ht="15">
      <c r="A9" s="15"/>
      <c r="B9" s="15"/>
      <c r="C9" s="16"/>
      <c r="D9" s="17"/>
      <c r="E9" s="16"/>
      <c r="F9" s="18"/>
      <c r="G9" s="16"/>
      <c r="H9" s="18"/>
      <c r="I9" s="16"/>
      <c r="J9" s="17"/>
      <c r="K9" s="16"/>
      <c r="L9" s="18"/>
      <c r="M9" s="16"/>
      <c r="N9" s="16"/>
      <c r="O9" s="18"/>
      <c r="P9" s="18"/>
      <c r="Q9" s="18"/>
      <c r="R9" s="18"/>
      <c r="S9" s="18"/>
      <c r="T9" s="18"/>
      <c r="U9" s="15"/>
      <c r="V9" s="17"/>
      <c r="W9" s="16"/>
      <c r="X9" s="16"/>
      <c r="Y9" s="16"/>
      <c r="Z9" s="16"/>
      <c r="AA9" s="16"/>
    </row>
    <row r="10" ht="15">
      <c r="U10" s="4"/>
    </row>
    <row r="11" spans="1:27" ht="16.5">
      <c r="A11" s="12" t="s">
        <v>58</v>
      </c>
      <c r="C11" s="8" t="s">
        <v>2</v>
      </c>
      <c r="D11" s="19"/>
      <c r="E11" s="19">
        <v>30</v>
      </c>
      <c r="F11" s="20"/>
      <c r="G11" s="19">
        <v>142.9</v>
      </c>
      <c r="H11" s="19"/>
      <c r="I11" s="21">
        <v>100</v>
      </c>
      <c r="J11" s="21"/>
      <c r="K11" s="19"/>
      <c r="L11" s="20"/>
      <c r="M11" s="19">
        <v>46.5</v>
      </c>
      <c r="N11" s="19"/>
      <c r="O11" s="19">
        <v>142.9</v>
      </c>
      <c r="P11" s="19"/>
      <c r="Q11" s="19">
        <v>30</v>
      </c>
      <c r="R11" s="19"/>
      <c r="S11" s="19">
        <v>42.9</v>
      </c>
      <c r="T11" s="20"/>
      <c r="U11" s="19">
        <v>23.6</v>
      </c>
      <c r="V11" s="19"/>
      <c r="W11" s="22">
        <v>46.5</v>
      </c>
      <c r="X11" s="22"/>
      <c r="Y11" s="22">
        <f aca="true" t="shared" si="0" ref="Y11:Y22">((G11-I11)/((G11-I11)+U11))*100</f>
        <v>64.51127819548873</v>
      </c>
      <c r="Z11" s="20"/>
      <c r="AA11" s="22">
        <f aca="true" t="shared" si="1" ref="AA11:AA22">(U11/((G11-I11)+U11))*100</f>
        <v>35.48872180451128</v>
      </c>
    </row>
    <row r="12" spans="1:27" ht="15">
      <c r="A12" s="12" t="s">
        <v>3</v>
      </c>
      <c r="C12" s="8" t="s">
        <v>4</v>
      </c>
      <c r="E12" s="19">
        <v>25</v>
      </c>
      <c r="F12" s="20"/>
      <c r="G12" s="19">
        <f>100/(1-E12/100)</f>
        <v>133.33333333333334</v>
      </c>
      <c r="H12" s="19"/>
      <c r="I12" s="21">
        <v>100</v>
      </c>
      <c r="J12" s="21"/>
      <c r="K12" s="19">
        <v>25</v>
      </c>
      <c r="L12" s="20"/>
      <c r="M12" s="19">
        <v>25</v>
      </c>
      <c r="N12" s="19"/>
      <c r="O12" s="19"/>
      <c r="P12" s="19"/>
      <c r="Q12" s="19"/>
      <c r="R12" s="19"/>
      <c r="S12" s="19"/>
      <c r="T12" s="20"/>
      <c r="U12" s="19">
        <f>+(K12/100)*MAX(I12,O12)-S12</f>
        <v>25</v>
      </c>
      <c r="V12" s="19"/>
      <c r="W12" s="22">
        <f aca="true" t="shared" si="2" ref="W12:W17">(G12-I12+U12)/G12*100</f>
        <v>43.75000000000001</v>
      </c>
      <c r="X12" s="20"/>
      <c r="Y12" s="22">
        <f t="shared" si="0"/>
        <v>57.14285714285715</v>
      </c>
      <c r="AA12" s="22">
        <f t="shared" si="1"/>
        <v>42.85714285714285</v>
      </c>
    </row>
    <row r="13" spans="1:27" ht="16.5">
      <c r="A13" s="12" t="s">
        <v>59</v>
      </c>
      <c r="C13" s="8" t="s">
        <v>4</v>
      </c>
      <c r="E13" s="19">
        <f>33*1.03</f>
        <v>33.99</v>
      </c>
      <c r="F13" s="20"/>
      <c r="G13" s="19">
        <f>100/(1-E13/100)</f>
        <v>151.4921981517952</v>
      </c>
      <c r="H13" s="22"/>
      <c r="I13" s="21">
        <v>100</v>
      </c>
      <c r="J13" s="23"/>
      <c r="K13" s="22"/>
      <c r="L13" s="20"/>
      <c r="M13" s="19">
        <v>15</v>
      </c>
      <c r="N13" s="19"/>
      <c r="O13" s="19"/>
      <c r="P13" s="19"/>
      <c r="Q13" s="19"/>
      <c r="R13" s="19"/>
      <c r="S13" s="19"/>
      <c r="T13" s="20"/>
      <c r="U13" s="19">
        <f>+(M13/100)*MAX(I13,O13)-S13</f>
        <v>15</v>
      </c>
      <c r="V13" s="19"/>
      <c r="W13" s="22">
        <f t="shared" si="2"/>
        <v>43.89150000000001</v>
      </c>
      <c r="X13" s="20"/>
      <c r="Y13" s="22">
        <f t="shared" si="0"/>
        <v>77.44096237312465</v>
      </c>
      <c r="AA13" s="22">
        <f t="shared" si="1"/>
        <v>22.559037626875355</v>
      </c>
    </row>
    <row r="14" spans="1:27" ht="16.5">
      <c r="A14" s="12" t="s">
        <v>87</v>
      </c>
      <c r="C14" s="8" t="s">
        <v>6</v>
      </c>
      <c r="E14" s="19">
        <v>33.93</v>
      </c>
      <c r="F14" s="20"/>
      <c r="G14" s="19">
        <f>100/(1-E14/100)</f>
        <v>151.35462388375964</v>
      </c>
      <c r="H14" s="22"/>
      <c r="I14" s="21">
        <v>100</v>
      </c>
      <c r="J14" s="23"/>
      <c r="K14" s="22"/>
      <c r="L14" s="20"/>
      <c r="M14" s="19">
        <f>29+11.16+6.25</f>
        <v>46.41</v>
      </c>
      <c r="N14" s="19"/>
      <c r="O14" s="19">
        <f>1.45*I14</f>
        <v>145</v>
      </c>
      <c r="P14" s="19"/>
      <c r="Q14" s="19">
        <f>18.9655+1.56*6.5</f>
        <v>29.1055</v>
      </c>
      <c r="R14" s="19"/>
      <c r="S14" s="19">
        <f>O14*Q14/100</f>
        <v>42.202974999999995</v>
      </c>
      <c r="T14" s="20"/>
      <c r="U14" s="19">
        <f>+(M14/100)*MAX(I14,O14)-S14</f>
        <v>25.091525000000004</v>
      </c>
      <c r="V14" s="19"/>
      <c r="W14" s="22">
        <f t="shared" si="2"/>
        <v>50.5079705675</v>
      </c>
      <c r="X14" s="20"/>
      <c r="Y14" s="22">
        <f t="shared" si="0"/>
        <v>67.177515981671</v>
      </c>
      <c r="AA14" s="22">
        <f t="shared" si="1"/>
        <v>32.822484018329</v>
      </c>
    </row>
    <row r="15" spans="1:28" ht="15">
      <c r="A15" s="12" t="s">
        <v>41</v>
      </c>
      <c r="C15" s="8" t="s">
        <v>2</v>
      </c>
      <c r="E15" s="19">
        <v>17</v>
      </c>
      <c r="F15" s="20"/>
      <c r="G15" s="19">
        <f>100/(1-E15/100)</f>
        <v>120.48192771084338</v>
      </c>
      <c r="H15" s="22"/>
      <c r="I15" s="21">
        <v>100</v>
      </c>
      <c r="J15" s="23"/>
      <c r="K15" s="22" t="s">
        <v>34</v>
      </c>
      <c r="L15" s="20"/>
      <c r="M15" s="19">
        <v>40</v>
      </c>
      <c r="N15" s="19"/>
      <c r="O15" s="19">
        <v>120.48192771084338</v>
      </c>
      <c r="P15" s="19"/>
      <c r="Q15" s="19">
        <v>17.000000000000004</v>
      </c>
      <c r="R15" s="19"/>
      <c r="S15" s="19">
        <f>O15*Q15/100</f>
        <v>20.48192771084338</v>
      </c>
      <c r="T15" s="20" t="s">
        <v>40</v>
      </c>
      <c r="U15" s="19">
        <f>+(M15/100)*MAX(I15,O15)-S15</f>
        <v>27.710843373493972</v>
      </c>
      <c r="V15" s="19"/>
      <c r="W15" s="22">
        <f t="shared" si="2"/>
        <v>40</v>
      </c>
      <c r="X15" s="20"/>
      <c r="Y15" s="22">
        <f>((G15-I15)/((G15-I15)+U15))*100</f>
        <v>42.50000000000001</v>
      </c>
      <c r="AA15" s="22">
        <f>(U15/((G15-I15)+U15))*100</f>
        <v>57.499999999999986</v>
      </c>
      <c r="AB15" s="8"/>
    </row>
    <row r="16" spans="1:27" ht="15">
      <c r="A16" s="12" t="s">
        <v>7</v>
      </c>
      <c r="C16" s="8" t="s">
        <v>4</v>
      </c>
      <c r="E16" s="19">
        <v>24</v>
      </c>
      <c r="F16" s="20"/>
      <c r="G16" s="19">
        <f>100/(1-E16/100)</f>
        <v>131.57894736842104</v>
      </c>
      <c r="H16" s="22"/>
      <c r="I16" s="21">
        <v>100</v>
      </c>
      <c r="J16" s="23"/>
      <c r="K16" s="22">
        <v>15</v>
      </c>
      <c r="L16" s="20"/>
      <c r="M16" s="19">
        <v>15</v>
      </c>
      <c r="N16" s="19"/>
      <c r="O16" s="19"/>
      <c r="P16" s="19"/>
      <c r="Q16" s="19"/>
      <c r="R16" s="19"/>
      <c r="S16" s="19"/>
      <c r="T16" s="20"/>
      <c r="U16" s="19">
        <f>+(M16/100)*MAX(I16,O16)-S16</f>
        <v>15</v>
      </c>
      <c r="V16" s="19"/>
      <c r="W16" s="22">
        <f t="shared" si="2"/>
        <v>35.39999999999999</v>
      </c>
      <c r="X16" s="20"/>
      <c r="Y16" s="22">
        <f t="shared" si="0"/>
        <v>67.79661016949152</v>
      </c>
      <c r="AA16" s="22">
        <f t="shared" si="1"/>
        <v>32.203389830508485</v>
      </c>
    </row>
    <row r="17" spans="1:27" ht="15">
      <c r="A17" s="12" t="s">
        <v>8</v>
      </c>
      <c r="C17" s="8" t="s">
        <v>29</v>
      </c>
      <c r="E17" s="19">
        <v>28</v>
      </c>
      <c r="F17" s="20"/>
      <c r="G17" s="19">
        <v>138.9</v>
      </c>
      <c r="H17" s="22"/>
      <c r="I17" s="21">
        <v>100</v>
      </c>
      <c r="J17" s="23"/>
      <c r="K17" s="22"/>
      <c r="L17" s="20"/>
      <c r="M17" s="19">
        <v>43</v>
      </c>
      <c r="N17" s="19"/>
      <c r="O17" s="19"/>
      <c r="P17" s="19"/>
      <c r="Q17" s="19"/>
      <c r="R17" s="19"/>
      <c r="S17" s="19"/>
      <c r="T17" s="20"/>
      <c r="U17" s="19">
        <f>+(M17/100)*MAX(I17,O17)-S17</f>
        <v>43</v>
      </c>
      <c r="V17" s="19"/>
      <c r="W17" s="22">
        <f t="shared" si="2"/>
        <v>58.963282937365015</v>
      </c>
      <c r="X17" s="20"/>
      <c r="Y17" s="22">
        <f t="shared" si="0"/>
        <v>47.4969474969475</v>
      </c>
      <c r="AA17" s="22">
        <f t="shared" si="1"/>
        <v>52.503052503052494</v>
      </c>
    </row>
    <row r="18" spans="1:27" ht="15">
      <c r="A18" s="12" t="s">
        <v>44</v>
      </c>
      <c r="C18" s="8" t="s">
        <v>30</v>
      </c>
      <c r="E18" s="8">
        <v>23</v>
      </c>
      <c r="G18" s="19">
        <v>129.87012987012986</v>
      </c>
      <c r="H18" s="24"/>
      <c r="I18" s="21">
        <v>100</v>
      </c>
      <c r="J18" s="23"/>
      <c r="K18" s="24" t="s">
        <v>34</v>
      </c>
      <c r="M18" s="8">
        <v>0</v>
      </c>
      <c r="N18" s="8"/>
      <c r="O18" s="8"/>
      <c r="P18" s="8"/>
      <c r="Q18" s="8"/>
      <c r="R18" s="8"/>
      <c r="S18" s="8"/>
      <c r="U18" s="19">
        <v>0</v>
      </c>
      <c r="V18" s="19"/>
      <c r="W18" s="22">
        <v>22.999999999999993</v>
      </c>
      <c r="X18" s="20"/>
      <c r="Y18" s="22">
        <v>100</v>
      </c>
      <c r="Z18" s="20"/>
      <c r="AA18" s="22">
        <v>0</v>
      </c>
    </row>
    <row r="19" spans="1:27" ht="16.5">
      <c r="A19" s="12" t="s">
        <v>88</v>
      </c>
      <c r="C19" s="8" t="s">
        <v>25</v>
      </c>
      <c r="E19" s="19">
        <v>26</v>
      </c>
      <c r="F19" s="20"/>
      <c r="G19" s="19">
        <f>100/(1-E19/100)</f>
        <v>135.13513513513513</v>
      </c>
      <c r="H19" s="22"/>
      <c r="I19" s="21">
        <f>G19-(E19*G19/100)</f>
        <v>100</v>
      </c>
      <c r="J19" s="23"/>
      <c r="K19" s="22"/>
      <c r="L19" s="20"/>
      <c r="M19" s="19">
        <v>28</v>
      </c>
      <c r="N19" s="19"/>
      <c r="O19" s="19"/>
      <c r="P19" s="19"/>
      <c r="Q19" s="19"/>
      <c r="R19" s="19"/>
      <c r="S19" s="19"/>
      <c r="T19" s="20"/>
      <c r="U19" s="19">
        <f>I19*0.7*M19/100</f>
        <v>19.6</v>
      </c>
      <c r="V19" s="19"/>
      <c r="W19" s="22">
        <f>((G19-I19+U19)/G19)*100</f>
        <v>40.504</v>
      </c>
      <c r="X19" s="20"/>
      <c r="Y19" s="22">
        <f t="shared" si="0"/>
        <v>64.19119099348211</v>
      </c>
      <c r="AA19" s="22">
        <f t="shared" si="1"/>
        <v>35.808809006517876</v>
      </c>
    </row>
    <row r="20" spans="1:27" ht="16.5">
      <c r="A20" s="12" t="s">
        <v>89</v>
      </c>
      <c r="C20" s="8" t="s">
        <v>25</v>
      </c>
      <c r="E20" s="19">
        <v>34.43</v>
      </c>
      <c r="F20" s="20"/>
      <c r="G20" s="19">
        <f>100/(1-E20/100)</f>
        <v>152.50876925423213</v>
      </c>
      <c r="H20" s="22"/>
      <c r="I20" s="21">
        <v>100</v>
      </c>
      <c r="J20" s="23"/>
      <c r="K20" s="22"/>
      <c r="L20" s="20"/>
      <c r="M20" s="19">
        <f>11+(1-40%-5.8%)*40</f>
        <v>32.68</v>
      </c>
      <c r="N20" s="19"/>
      <c r="O20" s="19"/>
      <c r="P20" s="19"/>
      <c r="Q20" s="19"/>
      <c r="R20" s="19"/>
      <c r="S20" s="19"/>
      <c r="T20" s="20"/>
      <c r="U20" s="19">
        <f>+(M20/100)*MAX(I20,O20)-S20</f>
        <v>32.68</v>
      </c>
      <c r="V20" s="19"/>
      <c r="W20" s="22">
        <f>((G20-I20+U20)/G20)*100</f>
        <v>55.858276000000004</v>
      </c>
      <c r="X20" s="20"/>
      <c r="Y20" s="22">
        <f t="shared" si="0"/>
        <v>61.63813577060632</v>
      </c>
      <c r="AA20" s="22">
        <f t="shared" si="1"/>
        <v>38.361864229393674</v>
      </c>
    </row>
    <row r="21" spans="1:27" ht="15">
      <c r="A21" s="12" t="s">
        <v>9</v>
      </c>
      <c r="C21" s="8" t="s">
        <v>25</v>
      </c>
      <c r="E21" s="19">
        <v>38.9</v>
      </c>
      <c r="F21" s="20"/>
      <c r="G21" s="19">
        <v>163.7</v>
      </c>
      <c r="H21" s="22"/>
      <c r="I21" s="21">
        <v>100</v>
      </c>
      <c r="J21" s="23"/>
      <c r="K21" s="22"/>
      <c r="L21" s="20"/>
      <c r="M21" s="19">
        <v>44.3</v>
      </c>
      <c r="N21" s="19"/>
      <c r="O21" s="19"/>
      <c r="P21" s="19"/>
      <c r="Q21" s="19"/>
      <c r="R21" s="19"/>
      <c r="S21" s="19"/>
      <c r="T21" s="20"/>
      <c r="U21" s="22">
        <v>22.2</v>
      </c>
      <c r="V21" s="19"/>
      <c r="W21" s="19">
        <v>52.4</v>
      </c>
      <c r="X21" s="20"/>
      <c r="Y21" s="22">
        <f t="shared" si="0"/>
        <v>74.15599534342257</v>
      </c>
      <c r="AA21" s="22">
        <f t="shared" si="1"/>
        <v>25.844004656577418</v>
      </c>
    </row>
    <row r="22" spans="1:27" ht="15">
      <c r="A22" s="12" t="s">
        <v>10</v>
      </c>
      <c r="C22" s="8" t="s">
        <v>30</v>
      </c>
      <c r="E22" s="19">
        <v>29</v>
      </c>
      <c r="F22" s="20"/>
      <c r="G22" s="19">
        <v>140.8</v>
      </c>
      <c r="H22" s="22"/>
      <c r="I22" s="21">
        <v>100</v>
      </c>
      <c r="J22" s="23"/>
      <c r="K22" s="22"/>
      <c r="L22" s="20"/>
      <c r="M22" s="19">
        <v>0</v>
      </c>
      <c r="N22" s="19"/>
      <c r="O22" s="19"/>
      <c r="P22" s="19"/>
      <c r="Q22" s="19"/>
      <c r="R22" s="19"/>
      <c r="S22" s="19"/>
      <c r="T22" s="20"/>
      <c r="U22" s="19">
        <v>0</v>
      </c>
      <c r="V22" s="19"/>
      <c r="W22" s="19">
        <f aca="true" t="shared" si="3" ref="W22:W30">(U22+(G22-I22))/G22*100</f>
        <v>28.977272727272734</v>
      </c>
      <c r="X22" s="20"/>
      <c r="Y22" s="22">
        <f t="shared" si="0"/>
        <v>100</v>
      </c>
      <c r="AA22" s="22">
        <f t="shared" si="1"/>
        <v>0</v>
      </c>
    </row>
    <row r="23" spans="1:27" ht="16.5">
      <c r="A23" s="12" t="s">
        <v>70</v>
      </c>
      <c r="C23" s="8" t="s">
        <v>27</v>
      </c>
      <c r="E23" s="19">
        <v>17.33</v>
      </c>
      <c r="F23" s="20"/>
      <c r="G23" s="19">
        <f>100/(1-E23/100)</f>
        <v>120.962864400629</v>
      </c>
      <c r="H23" s="22"/>
      <c r="I23" s="21">
        <v>100</v>
      </c>
      <c r="J23" s="23"/>
      <c r="K23" s="22"/>
      <c r="L23" s="20"/>
      <c r="M23" s="19">
        <v>35</v>
      </c>
      <c r="N23" s="19"/>
      <c r="O23" s="19"/>
      <c r="P23" s="19"/>
      <c r="Q23" s="19"/>
      <c r="R23" s="19"/>
      <c r="S23" s="19"/>
      <c r="T23" s="20"/>
      <c r="U23" s="19">
        <f aca="true" t="shared" si="4" ref="U23:U29">+(M23/100)*MAX(I23,O23)-S23</f>
        <v>35</v>
      </c>
      <c r="V23" s="19"/>
      <c r="W23" s="19">
        <f t="shared" si="3"/>
        <v>46.2645</v>
      </c>
      <c r="X23" s="20"/>
      <c r="Y23" s="22">
        <f>((G23-I23)/((G23-I23)+U23))*100</f>
        <v>37.45852651601119</v>
      </c>
      <c r="AA23" s="22">
        <f>(U23/((G23-I23)+U23))*100</f>
        <v>62.54147348398881</v>
      </c>
    </row>
    <row r="24" spans="1:27" ht="15">
      <c r="A24" s="12" t="s">
        <v>11</v>
      </c>
      <c r="C24" s="8" t="s">
        <v>4</v>
      </c>
      <c r="E24" s="19">
        <v>18</v>
      </c>
      <c r="F24" s="20"/>
      <c r="G24" s="19">
        <f>100/(1-E24/100)</f>
        <v>121.95121951219511</v>
      </c>
      <c r="H24" s="19"/>
      <c r="I24" s="21">
        <v>100</v>
      </c>
      <c r="J24" s="23"/>
      <c r="K24" s="22"/>
      <c r="L24" s="20"/>
      <c r="M24" s="19">
        <v>10</v>
      </c>
      <c r="N24" s="19"/>
      <c r="O24" s="19"/>
      <c r="P24" s="19"/>
      <c r="Q24" s="19"/>
      <c r="R24" s="19"/>
      <c r="S24" s="19"/>
      <c r="T24" s="20"/>
      <c r="U24" s="19">
        <f t="shared" si="4"/>
        <v>10</v>
      </c>
      <c r="V24" s="19"/>
      <c r="W24" s="19">
        <f t="shared" si="3"/>
        <v>26.19999999999999</v>
      </c>
      <c r="X24" s="20"/>
      <c r="Y24" s="22">
        <f aca="true" t="shared" si="5" ref="Y24:Y30">((G24-I24)/((G24-I24)+U24))*100</f>
        <v>68.70229007633587</v>
      </c>
      <c r="AA24" s="22">
        <f aca="true" t="shared" si="6" ref="AA24:AA30">(U24/((G24-I24)+U24))*100</f>
        <v>31.297709923664137</v>
      </c>
    </row>
    <row r="25" spans="1:27" ht="15">
      <c r="A25" s="12" t="s">
        <v>12</v>
      </c>
      <c r="C25" s="8" t="s">
        <v>4</v>
      </c>
      <c r="E25" s="19">
        <v>12.5</v>
      </c>
      <c r="F25" s="20"/>
      <c r="G25" s="19">
        <v>114.3</v>
      </c>
      <c r="H25" s="19"/>
      <c r="I25" s="21">
        <v>100</v>
      </c>
      <c r="J25" s="21"/>
      <c r="K25" s="19"/>
      <c r="L25" s="20"/>
      <c r="M25" s="19">
        <v>42</v>
      </c>
      <c r="N25" s="19"/>
      <c r="O25" s="19"/>
      <c r="P25" s="19"/>
      <c r="Q25" s="19"/>
      <c r="R25" s="19"/>
      <c r="S25" s="19"/>
      <c r="T25" s="20"/>
      <c r="U25" s="19">
        <f t="shared" si="4"/>
        <v>42</v>
      </c>
      <c r="V25" s="19"/>
      <c r="W25" s="19">
        <f t="shared" si="3"/>
        <v>49.25634295713036</v>
      </c>
      <c r="X25" s="20"/>
      <c r="Y25" s="22">
        <f t="shared" si="5"/>
        <v>25.399644760213143</v>
      </c>
      <c r="AA25" s="22">
        <f t="shared" si="6"/>
        <v>74.60035523978686</v>
      </c>
    </row>
    <row r="26" spans="1:27" ht="15">
      <c r="A26" s="12" t="s">
        <v>43</v>
      </c>
      <c r="C26" s="8" t="s">
        <v>29</v>
      </c>
      <c r="E26" s="8">
        <v>31</v>
      </c>
      <c r="F26" s="20"/>
      <c r="G26" s="19">
        <v>144.92753623188406</v>
      </c>
      <c r="H26" s="19"/>
      <c r="I26" s="21">
        <v>100</v>
      </c>
      <c r="J26" s="21"/>
      <c r="K26" s="19"/>
      <c r="L26" s="20"/>
      <c r="M26" s="19">
        <v>25</v>
      </c>
      <c r="N26" s="19"/>
      <c r="O26" s="19"/>
      <c r="P26" s="19"/>
      <c r="Q26" s="19"/>
      <c r="R26" s="19"/>
      <c r="S26" s="19"/>
      <c r="T26" s="20"/>
      <c r="U26" s="19">
        <v>25</v>
      </c>
      <c r="V26" s="19"/>
      <c r="W26" s="19">
        <v>48.25000000000001</v>
      </c>
      <c r="X26" s="20"/>
      <c r="Y26" s="22">
        <v>64.24870466321244</v>
      </c>
      <c r="Z26" s="20"/>
      <c r="AA26" s="22">
        <v>35.751295336787564</v>
      </c>
    </row>
    <row r="27" spans="1:27" ht="16.5">
      <c r="A27" s="12" t="s">
        <v>90</v>
      </c>
      <c r="C27" s="8" t="s">
        <v>38</v>
      </c>
      <c r="E27" s="19">
        <v>33</v>
      </c>
      <c r="F27" s="20"/>
      <c r="G27" s="19">
        <f>100/(1-E27/100)</f>
        <v>149.2537313432836</v>
      </c>
      <c r="H27" s="22"/>
      <c r="I27" s="21">
        <v>100</v>
      </c>
      <c r="J27" s="23"/>
      <c r="K27" s="22">
        <v>12.5</v>
      </c>
      <c r="L27" s="20"/>
      <c r="M27" s="19">
        <v>12.5</v>
      </c>
      <c r="N27" s="19"/>
      <c r="O27" s="19"/>
      <c r="P27" s="19"/>
      <c r="Q27" s="19"/>
      <c r="R27" s="19"/>
      <c r="S27" s="19"/>
      <c r="T27" s="20"/>
      <c r="U27" s="19">
        <f t="shared" si="4"/>
        <v>12.5</v>
      </c>
      <c r="V27" s="19"/>
      <c r="W27" s="19">
        <f>(U27+(G27-I27))/G27*100</f>
        <v>41.375</v>
      </c>
      <c r="X27" s="20"/>
      <c r="Y27" s="22">
        <f>((G27-I27)/((G27-I27)+U27))*100</f>
        <v>79.7583081570997</v>
      </c>
      <c r="AA27" s="22">
        <f>(U27/((G27-I27)+U27))*100</f>
        <v>20.241691842900302</v>
      </c>
    </row>
    <row r="28" spans="1:27" ht="16.5">
      <c r="A28" s="12" t="s">
        <v>91</v>
      </c>
      <c r="C28" s="8" t="s">
        <v>29</v>
      </c>
      <c r="E28" s="19">
        <v>39.54</v>
      </c>
      <c r="G28" s="19">
        <f>100/(1-E28/100)</f>
        <v>165.3986106516705</v>
      </c>
      <c r="H28" s="8"/>
      <c r="I28" s="21">
        <v>100</v>
      </c>
      <c r="J28" s="21"/>
      <c r="K28" s="19">
        <v>10</v>
      </c>
      <c r="L28" s="27"/>
      <c r="M28" s="19">
        <v>10</v>
      </c>
      <c r="N28" s="19"/>
      <c r="O28" s="19"/>
      <c r="P28" s="8"/>
      <c r="Q28" s="19"/>
      <c r="R28" s="19"/>
      <c r="S28" s="19"/>
      <c r="T28" s="27"/>
      <c r="U28" s="19">
        <f t="shared" si="4"/>
        <v>10</v>
      </c>
      <c r="V28" s="8"/>
      <c r="W28" s="19">
        <f t="shared" si="3"/>
        <v>45.58599999999999</v>
      </c>
      <c r="X28" s="19"/>
      <c r="Y28" s="22">
        <f t="shared" si="5"/>
        <v>86.7371561444303</v>
      </c>
      <c r="Z28" s="20"/>
      <c r="AA28" s="22">
        <f t="shared" si="6"/>
        <v>13.262843855569695</v>
      </c>
    </row>
    <row r="29" spans="1:27" ht="15">
      <c r="A29" s="12" t="s">
        <v>15</v>
      </c>
      <c r="C29" s="8" t="s">
        <v>6</v>
      </c>
      <c r="E29" s="19">
        <v>27.5</v>
      </c>
      <c r="G29" s="19">
        <f>100/(1-E29/100)</f>
        <v>137.93103448275863</v>
      </c>
      <c r="H29" s="8"/>
      <c r="I29" s="21">
        <v>100</v>
      </c>
      <c r="J29" s="33"/>
      <c r="K29" s="19"/>
      <c r="L29" s="19"/>
      <c r="M29" s="19">
        <v>38.5</v>
      </c>
      <c r="N29" s="20"/>
      <c r="O29" s="19">
        <v>115</v>
      </c>
      <c r="Q29" s="19">
        <f>(O29-100)/O29*100</f>
        <v>13.043478260869565</v>
      </c>
      <c r="R29" s="19"/>
      <c r="S29" s="19">
        <f>+O29*Q29/100</f>
        <v>15</v>
      </c>
      <c r="T29" s="27"/>
      <c r="U29" s="19">
        <f t="shared" si="4"/>
        <v>29.275</v>
      </c>
      <c r="V29" s="8"/>
      <c r="W29" s="19">
        <f t="shared" si="3"/>
        <v>48.72437500000001</v>
      </c>
      <c r="X29" s="30"/>
      <c r="Y29" s="22">
        <f t="shared" si="5"/>
        <v>56.4399235495581</v>
      </c>
      <c r="AA29" s="22">
        <f t="shared" si="6"/>
        <v>43.56007645044188</v>
      </c>
    </row>
    <row r="30" spans="1:27" ht="15">
      <c r="A30" s="12" t="s">
        <v>16</v>
      </c>
      <c r="C30" s="8" t="s">
        <v>25</v>
      </c>
      <c r="E30" s="19">
        <v>30.4</v>
      </c>
      <c r="F30" s="20"/>
      <c r="G30" s="19">
        <f>100/(1-E30/100)</f>
        <v>143.67816091954023</v>
      </c>
      <c r="H30" s="22"/>
      <c r="I30" s="21">
        <v>100</v>
      </c>
      <c r="J30" s="23"/>
      <c r="K30" s="22"/>
      <c r="L30" s="20"/>
      <c r="M30" s="19">
        <v>38.95</v>
      </c>
      <c r="N30" s="19"/>
      <c r="O30" s="19"/>
      <c r="P30" s="19"/>
      <c r="Q30" s="19"/>
      <c r="R30" s="19"/>
      <c r="S30" s="19"/>
      <c r="T30" s="20"/>
      <c r="U30" s="19">
        <f>I30/2*M30/100</f>
        <v>19.475</v>
      </c>
      <c r="V30" s="19"/>
      <c r="W30" s="19">
        <f t="shared" si="3"/>
        <v>43.954600000000006</v>
      </c>
      <c r="X30" s="20"/>
      <c r="Y30" s="22">
        <f t="shared" si="5"/>
        <v>69.16227198063456</v>
      </c>
      <c r="AA30" s="22">
        <f t="shared" si="6"/>
        <v>30.837728019365436</v>
      </c>
    </row>
    <row r="31" spans="1:27" ht="15">
      <c r="A31" s="12" t="s">
        <v>17</v>
      </c>
      <c r="C31" s="8" t="s">
        <v>2</v>
      </c>
      <c r="E31" s="19">
        <v>29</v>
      </c>
      <c r="F31" s="20"/>
      <c r="G31" s="19">
        <f>100/(1-E31/100)</f>
        <v>140.84507042253523</v>
      </c>
      <c r="H31" s="19"/>
      <c r="I31" s="21">
        <v>100</v>
      </c>
      <c r="J31" s="21"/>
      <c r="K31" s="19"/>
      <c r="L31" s="20"/>
      <c r="M31" s="19">
        <v>29</v>
      </c>
      <c r="N31" s="19"/>
      <c r="O31" s="19">
        <f>100/(1-M31/100)</f>
        <v>140.84507042253523</v>
      </c>
      <c r="P31" s="19"/>
      <c r="Q31" s="19">
        <f>((O31-100)/O31)*100</f>
        <v>29.00000000000001</v>
      </c>
      <c r="R31" s="19"/>
      <c r="S31" s="19">
        <f>+I31*(Q31/(100-Q31))</f>
        <v>40.84507042253524</v>
      </c>
      <c r="T31" s="20"/>
      <c r="U31" s="19">
        <f>((Q31/100)*O31)-S31</f>
        <v>0</v>
      </c>
      <c r="V31" s="19"/>
      <c r="W31" s="22">
        <f>(G31-I31+U31)/G31*100</f>
        <v>29.00000000000001</v>
      </c>
      <c r="X31" s="20"/>
      <c r="Y31" s="22">
        <f>((G31-I31)/((G31-I31)+U31))*100</f>
        <v>100</v>
      </c>
      <c r="AA31" s="22">
        <f>(U31/((G31-I31)+U31))*100</f>
        <v>0</v>
      </c>
    </row>
    <row r="32" spans="1:27" ht="15">
      <c r="A32" s="12" t="s">
        <v>18</v>
      </c>
      <c r="C32" s="8" t="s">
        <v>4</v>
      </c>
      <c r="E32" s="19">
        <v>29.6</v>
      </c>
      <c r="F32" s="20"/>
      <c r="G32" s="19">
        <v>142</v>
      </c>
      <c r="H32" s="19"/>
      <c r="I32" s="21">
        <v>100</v>
      </c>
      <c r="J32" s="21"/>
      <c r="K32" s="19"/>
      <c r="L32" s="20"/>
      <c r="M32" s="19">
        <v>25</v>
      </c>
      <c r="N32" s="19"/>
      <c r="O32" s="19"/>
      <c r="P32" s="19"/>
      <c r="Q32" s="19"/>
      <c r="R32" s="19"/>
      <c r="S32" s="19"/>
      <c r="T32" s="20"/>
      <c r="U32" s="19">
        <f>+(M32/100)*MAX(I32,O32)-S32</f>
        <v>25</v>
      </c>
      <c r="V32" s="19"/>
      <c r="W32" s="22">
        <f>(G32-I32+U32)/G32*100</f>
        <v>47.183098591549296</v>
      </c>
      <c r="X32" s="20"/>
      <c r="Y32" s="22">
        <f>((G32-I32)/((G32-I32)+U32))*100</f>
        <v>62.68656716417911</v>
      </c>
      <c r="AA32" s="22">
        <f>(U32/((G32-I32)+U32))*100</f>
        <v>37.3134328358209</v>
      </c>
    </row>
    <row r="33" spans="1:27" ht="16.5">
      <c r="A33" s="12" t="s">
        <v>92</v>
      </c>
      <c r="C33" s="8" t="s">
        <v>2</v>
      </c>
      <c r="E33" s="19">
        <v>33</v>
      </c>
      <c r="F33" s="20"/>
      <c r="G33" s="19">
        <v>149.3</v>
      </c>
      <c r="H33" s="19"/>
      <c r="I33" s="21">
        <v>100</v>
      </c>
      <c r="J33" s="21"/>
      <c r="K33" s="19"/>
      <c r="L33" s="20"/>
      <c r="M33" s="19">
        <v>39</v>
      </c>
      <c r="N33" s="19"/>
      <c r="O33" s="19">
        <v>149.3</v>
      </c>
      <c r="P33" s="19"/>
      <c r="Q33" s="19">
        <v>33</v>
      </c>
      <c r="R33" s="19"/>
      <c r="S33" s="19">
        <v>49.3</v>
      </c>
      <c r="T33" s="20"/>
      <c r="U33" s="19">
        <v>8.9</v>
      </c>
      <c r="V33" s="19"/>
      <c r="W33" s="22">
        <v>39</v>
      </c>
      <c r="X33" s="20"/>
      <c r="Y33" s="22">
        <v>84.7</v>
      </c>
      <c r="AA33" s="22">
        <v>15.3</v>
      </c>
    </row>
    <row r="34" spans="1:27" ht="16.5">
      <c r="A34" s="12" t="s">
        <v>93</v>
      </c>
      <c r="C34" s="8" t="s">
        <v>27</v>
      </c>
      <c r="E34" s="19">
        <v>28</v>
      </c>
      <c r="F34" s="20"/>
      <c r="G34" s="19">
        <v>138.9</v>
      </c>
      <c r="H34" s="19"/>
      <c r="I34" s="21">
        <v>100</v>
      </c>
      <c r="J34" s="21"/>
      <c r="K34" s="19"/>
      <c r="L34" s="20"/>
      <c r="M34" s="19">
        <v>28</v>
      </c>
      <c r="N34" s="19"/>
      <c r="O34" s="19"/>
      <c r="P34" s="19"/>
      <c r="Q34" s="19"/>
      <c r="R34" s="19"/>
      <c r="S34" s="19"/>
      <c r="T34" s="20"/>
      <c r="U34" s="19">
        <f aca="true" t="shared" si="7" ref="U34:U41">+(M34/100)*MAX(I34,O34)-S34</f>
        <v>28.000000000000004</v>
      </c>
      <c r="V34" s="19"/>
      <c r="W34" s="22">
        <f aca="true" t="shared" si="8" ref="W34:W41">(G34-I34+U34)/G34*100</f>
        <v>48.16414686825054</v>
      </c>
      <c r="X34" s="20"/>
      <c r="Y34" s="22">
        <f>((G34-I34)/((G34-I34)+U34))*100</f>
        <v>58.14648729446936</v>
      </c>
      <c r="AA34" s="22">
        <f>(U34/((G34-I34)+U34))*100</f>
        <v>41.85351270553064</v>
      </c>
    </row>
    <row r="35" spans="1:27" ht="15">
      <c r="A35" s="12" t="s">
        <v>36</v>
      </c>
      <c r="C35" s="8" t="s">
        <v>29</v>
      </c>
      <c r="E35" s="19">
        <v>19</v>
      </c>
      <c r="F35" s="20"/>
      <c r="G35" s="19">
        <f>100/(1-E35/100)</f>
        <v>123.45679012345678</v>
      </c>
      <c r="H35" s="22"/>
      <c r="I35" s="21">
        <v>100</v>
      </c>
      <c r="J35" s="23"/>
      <c r="K35" s="19">
        <v>19</v>
      </c>
      <c r="L35" s="19">
        <v>15</v>
      </c>
      <c r="M35" s="19">
        <v>19</v>
      </c>
      <c r="N35" s="19"/>
      <c r="O35" s="19"/>
      <c r="P35" s="19"/>
      <c r="Q35" s="19"/>
      <c r="R35" s="19"/>
      <c r="S35" s="19"/>
      <c r="T35" s="20"/>
      <c r="U35" s="19">
        <f t="shared" si="7"/>
        <v>19</v>
      </c>
      <c r="V35" s="19"/>
      <c r="W35" s="22">
        <f t="shared" si="8"/>
        <v>34.39</v>
      </c>
      <c r="X35" s="20"/>
      <c r="Y35" s="22">
        <f>((G35-I35)/((G35-I35)+U35))*100</f>
        <v>55.24861878453038</v>
      </c>
      <c r="AA35" s="22">
        <f>(U35/((G35-I35)+U35))*100</f>
        <v>44.75138121546962</v>
      </c>
    </row>
    <row r="36" spans="1:27" ht="15">
      <c r="A36" s="12" t="s">
        <v>20</v>
      </c>
      <c r="C36" s="8" t="s">
        <v>29</v>
      </c>
      <c r="E36" s="19">
        <v>27.5</v>
      </c>
      <c r="F36" s="20"/>
      <c r="G36" s="19">
        <f>100/(1-E36/100)</f>
        <v>137.93103448275863</v>
      </c>
      <c r="H36" s="19"/>
      <c r="I36" s="21">
        <v>100</v>
      </c>
      <c r="J36" s="21"/>
      <c r="K36" s="19">
        <v>20</v>
      </c>
      <c r="L36" s="20"/>
      <c r="M36" s="19">
        <v>20</v>
      </c>
      <c r="N36" s="19"/>
      <c r="O36" s="19"/>
      <c r="P36" s="19"/>
      <c r="Q36" s="19"/>
      <c r="R36" s="19"/>
      <c r="S36" s="19"/>
      <c r="T36" s="20"/>
      <c r="U36" s="19">
        <f t="shared" si="7"/>
        <v>20</v>
      </c>
      <c r="V36" s="19"/>
      <c r="W36" s="22">
        <f t="shared" si="8"/>
        <v>42.00000000000001</v>
      </c>
      <c r="X36" s="20"/>
      <c r="Y36" s="22">
        <f>((G36-I36)/((G36-I36)+U36))*100</f>
        <v>65.47619047619048</v>
      </c>
      <c r="AA36" s="22">
        <f>(U36/((G36-I36)+U36))*100</f>
        <v>34.52380952380952</v>
      </c>
    </row>
    <row r="37" spans="1:27" ht="15">
      <c r="A37" s="12" t="s">
        <v>21</v>
      </c>
      <c r="C37" s="8" t="s">
        <v>30</v>
      </c>
      <c r="E37" s="19">
        <v>19</v>
      </c>
      <c r="F37" s="20"/>
      <c r="G37" s="19">
        <f aca="true" t="shared" si="9" ref="G37:G43">100/(1-E37/100)</f>
        <v>123.45679012345678</v>
      </c>
      <c r="H37" s="22"/>
      <c r="I37" s="21">
        <v>100</v>
      </c>
      <c r="J37" s="23"/>
      <c r="K37" s="22"/>
      <c r="L37" s="20"/>
      <c r="M37" s="19">
        <v>0</v>
      </c>
      <c r="N37" s="19"/>
      <c r="O37" s="19"/>
      <c r="P37" s="19"/>
      <c r="Q37" s="19"/>
      <c r="R37" s="19"/>
      <c r="S37" s="19"/>
      <c r="T37" s="20"/>
      <c r="U37" s="19">
        <f t="shared" si="7"/>
        <v>0</v>
      </c>
      <c r="V37" s="19"/>
      <c r="W37" s="22">
        <f t="shared" si="8"/>
        <v>18.999999999999996</v>
      </c>
      <c r="X37" s="20"/>
      <c r="Y37" s="22">
        <f aca="true" t="shared" si="10" ref="Y37:Y44">((G37-I37)/((G37-I37)+U37))*100</f>
        <v>100</v>
      </c>
      <c r="AA37" s="22">
        <f aca="true" t="shared" si="11" ref="AA37:AA44">(U37/((G37-I37)+U37))*100</f>
        <v>0</v>
      </c>
    </row>
    <row r="38" spans="1:27" ht="15">
      <c r="A38" s="12" t="s">
        <v>42</v>
      </c>
      <c r="C38" s="8" t="s">
        <v>4</v>
      </c>
      <c r="E38" s="8">
        <v>25</v>
      </c>
      <c r="G38" s="19">
        <v>133.33333333333334</v>
      </c>
      <c r="H38" s="24"/>
      <c r="I38" s="21">
        <v>100</v>
      </c>
      <c r="J38" s="23"/>
      <c r="K38" s="24"/>
      <c r="M38" s="19">
        <v>20</v>
      </c>
      <c r="N38" s="19"/>
      <c r="O38" s="19"/>
      <c r="P38" s="19"/>
      <c r="Q38" s="19"/>
      <c r="R38" s="19"/>
      <c r="S38" s="19"/>
      <c r="T38" s="20"/>
      <c r="U38" s="19">
        <v>20</v>
      </c>
      <c r="V38" s="19"/>
      <c r="W38" s="22">
        <v>40</v>
      </c>
      <c r="X38" s="20"/>
      <c r="Y38" s="22">
        <v>62.500000000000014</v>
      </c>
      <c r="Z38" s="20"/>
      <c r="AA38" s="22">
        <v>37.49999999999999</v>
      </c>
    </row>
    <row r="39" spans="1:27" ht="15">
      <c r="A39" s="12" t="s">
        <v>22</v>
      </c>
      <c r="C39" s="8" t="s">
        <v>6</v>
      </c>
      <c r="D39" s="8"/>
      <c r="E39" s="19">
        <v>35</v>
      </c>
      <c r="F39" s="8"/>
      <c r="G39" s="19">
        <f t="shared" si="9"/>
        <v>153.84615384615384</v>
      </c>
      <c r="H39" s="8"/>
      <c r="I39" s="21">
        <v>100</v>
      </c>
      <c r="J39" s="21"/>
      <c r="K39" s="8"/>
      <c r="L39" s="8"/>
      <c r="M39" s="19">
        <v>45</v>
      </c>
      <c r="N39" s="8"/>
      <c r="O39" s="8">
        <v>140</v>
      </c>
      <c r="P39" s="8"/>
      <c r="Q39" s="19">
        <f>(O39-100)/O39*100</f>
        <v>28.57142857142857</v>
      </c>
      <c r="R39" s="8"/>
      <c r="S39" s="19">
        <f>+I39*(Q39/(100-Q39))</f>
        <v>40</v>
      </c>
      <c r="T39" s="8"/>
      <c r="U39" s="19">
        <f t="shared" si="7"/>
        <v>23</v>
      </c>
      <c r="V39" s="8"/>
      <c r="W39" s="22">
        <f t="shared" si="8"/>
        <v>49.95</v>
      </c>
      <c r="X39" s="8"/>
      <c r="Y39" s="22">
        <f t="shared" si="10"/>
        <v>70.07007007007007</v>
      </c>
      <c r="Z39" s="8"/>
      <c r="AA39" s="22">
        <f t="shared" si="11"/>
        <v>29.929929929929934</v>
      </c>
    </row>
    <row r="40" spans="1:27" ht="15">
      <c r="A40" s="12" t="s">
        <v>23</v>
      </c>
      <c r="C40" s="8" t="s">
        <v>4</v>
      </c>
      <c r="E40" s="19">
        <v>28</v>
      </c>
      <c r="F40" s="20"/>
      <c r="G40" s="19">
        <f t="shared" si="9"/>
        <v>138.88888888888889</v>
      </c>
      <c r="H40" s="19"/>
      <c r="I40" s="21">
        <v>100</v>
      </c>
      <c r="J40" s="21"/>
      <c r="K40" s="19"/>
      <c r="L40" s="20"/>
      <c r="M40" s="19">
        <v>30</v>
      </c>
      <c r="N40" s="19"/>
      <c r="O40" s="19"/>
      <c r="P40" s="19"/>
      <c r="Q40" s="19"/>
      <c r="R40" s="19"/>
      <c r="S40" s="19"/>
      <c r="T40" s="20"/>
      <c r="U40" s="19">
        <f t="shared" si="7"/>
        <v>30</v>
      </c>
      <c r="V40" s="19"/>
      <c r="W40" s="22">
        <f t="shared" si="8"/>
        <v>49.6</v>
      </c>
      <c r="X40" s="20"/>
      <c r="Y40" s="22">
        <f t="shared" si="10"/>
        <v>56.4516129032258</v>
      </c>
      <c r="AA40" s="22">
        <f t="shared" si="11"/>
        <v>43.54838709677419</v>
      </c>
    </row>
    <row r="41" spans="1:27" ht="16.5">
      <c r="A41" s="12" t="s">
        <v>94</v>
      </c>
      <c r="C41" s="8" t="s">
        <v>4</v>
      </c>
      <c r="E41" s="19">
        <v>21.32278429225124</v>
      </c>
      <c r="F41" s="20"/>
      <c r="G41" s="19">
        <f t="shared" si="9"/>
        <v>127.1016</v>
      </c>
      <c r="H41" s="19"/>
      <c r="I41" s="21">
        <v>100</v>
      </c>
      <c r="J41" s="21"/>
      <c r="K41" s="19"/>
      <c r="L41" s="20"/>
      <c r="M41" s="19">
        <f>13*(1+1.22)+11.5</f>
        <v>40.36</v>
      </c>
      <c r="N41" s="19"/>
      <c r="O41" s="19"/>
      <c r="P41" s="19"/>
      <c r="Q41" s="19"/>
      <c r="R41" s="19"/>
      <c r="S41" s="19"/>
      <c r="T41" s="20"/>
      <c r="U41" s="19">
        <f t="shared" si="7"/>
        <v>40.36</v>
      </c>
      <c r="V41" s="19"/>
      <c r="W41" s="22">
        <f t="shared" si="8"/>
        <v>53.07690855189864</v>
      </c>
      <c r="X41" s="20"/>
      <c r="Y41" s="22">
        <f t="shared" si="10"/>
        <v>40.173372703878954</v>
      </c>
      <c r="AA41" s="22">
        <f t="shared" si="11"/>
        <v>59.826627296121046</v>
      </c>
    </row>
    <row r="42" spans="1:27" ht="16.5">
      <c r="A42" s="12" t="s">
        <v>95</v>
      </c>
      <c r="C42" s="8" t="s">
        <v>25</v>
      </c>
      <c r="E42" s="19">
        <v>20</v>
      </c>
      <c r="F42" s="20"/>
      <c r="G42" s="19">
        <f t="shared" si="9"/>
        <v>125</v>
      </c>
      <c r="H42" s="19"/>
      <c r="I42" s="21">
        <v>100</v>
      </c>
      <c r="J42" s="21"/>
      <c r="K42" s="19"/>
      <c r="L42" s="20"/>
      <c r="M42" s="19">
        <v>35</v>
      </c>
      <c r="N42" s="19"/>
      <c r="O42" s="19"/>
      <c r="P42" s="19"/>
      <c r="Q42" s="19"/>
      <c r="R42" s="19"/>
      <c r="S42" s="19"/>
      <c r="T42" s="20"/>
      <c r="U42" s="19">
        <f>(I42/2*M42/100)-(I42*10/100)+(I42*10/100)</f>
        <v>17.5</v>
      </c>
      <c r="V42" s="19"/>
      <c r="W42" s="22">
        <f>(U42+(G42-100))/G42*100</f>
        <v>34</v>
      </c>
      <c r="X42" s="20"/>
      <c r="Y42" s="22">
        <f t="shared" si="10"/>
        <v>58.82352941176471</v>
      </c>
      <c r="Z42" s="22" t="e">
        <f>(H42-J42)/(H42-J42+L42+V42)*100</f>
        <v>#DIV/0!</v>
      </c>
      <c r="AA42" s="22">
        <f t="shared" si="11"/>
        <v>41.17647058823529</v>
      </c>
    </row>
    <row r="43" spans="1:27" ht="16.5">
      <c r="A43" s="12" t="s">
        <v>96</v>
      </c>
      <c r="C43" s="8" t="s">
        <v>6</v>
      </c>
      <c r="D43" s="8"/>
      <c r="E43" s="19">
        <v>30</v>
      </c>
      <c r="F43" s="20"/>
      <c r="G43" s="19">
        <f t="shared" si="9"/>
        <v>142.85714285714286</v>
      </c>
      <c r="H43" s="19"/>
      <c r="I43" s="21">
        <v>100</v>
      </c>
      <c r="J43" s="21"/>
      <c r="K43" s="19"/>
      <c r="L43" s="20"/>
      <c r="M43" s="19">
        <v>32.5</v>
      </c>
      <c r="N43" s="19"/>
      <c r="O43" s="19">
        <v>111.11</v>
      </c>
      <c r="P43" s="19"/>
      <c r="Q43" s="19">
        <f>(O43-100)/O43*100</f>
        <v>9.99909999099991</v>
      </c>
      <c r="R43" s="19"/>
      <c r="S43" s="19">
        <f>+I43*(Q43/(100-Q43))</f>
        <v>11.110000000000001</v>
      </c>
      <c r="T43" s="20"/>
      <c r="U43" s="19">
        <f>+(M43/100)*MAX(I43,O43)-S43</f>
        <v>25.000750000000004</v>
      </c>
      <c r="V43" s="19"/>
      <c r="W43" s="22">
        <f>(G43-I43+U43)/G43*100</f>
        <v>47.50052500000001</v>
      </c>
      <c r="X43" s="22"/>
      <c r="Y43" s="22">
        <f t="shared" si="10"/>
        <v>63.15719668361559</v>
      </c>
      <c r="Z43" s="20"/>
      <c r="AA43" s="22">
        <f t="shared" si="11"/>
        <v>36.84280331638439</v>
      </c>
    </row>
    <row r="44" spans="1:27" ht="16.5">
      <c r="A44" s="12" t="s">
        <v>97</v>
      </c>
      <c r="C44" s="8" t="s">
        <v>29</v>
      </c>
      <c r="E44" s="19">
        <v>39.3</v>
      </c>
      <c r="F44" s="20"/>
      <c r="G44" s="19">
        <v>164.7</v>
      </c>
      <c r="H44" s="19"/>
      <c r="I44" s="21">
        <v>100</v>
      </c>
      <c r="J44" s="21"/>
      <c r="K44" s="19"/>
      <c r="L44" s="20"/>
      <c r="M44" s="19">
        <v>21.1</v>
      </c>
      <c r="N44" s="19"/>
      <c r="O44" s="19"/>
      <c r="P44" s="19"/>
      <c r="Q44" s="19"/>
      <c r="R44" s="19"/>
      <c r="S44" s="19"/>
      <c r="T44" s="20"/>
      <c r="U44" s="19">
        <f>+(M44/100)*MAX(I44,O44)-S44</f>
        <v>21.1</v>
      </c>
      <c r="V44" s="19"/>
      <c r="W44" s="22">
        <f>(G44-I44+U44)/G44*100</f>
        <v>52.09471766848816</v>
      </c>
      <c r="X44" s="20"/>
      <c r="Y44" s="22">
        <f t="shared" si="10"/>
        <v>75.40792540792542</v>
      </c>
      <c r="AA44" s="22">
        <f t="shared" si="11"/>
        <v>24.592074592074596</v>
      </c>
    </row>
    <row r="45" spans="1:27" ht="15.75" thickBot="1">
      <c r="A45" s="28"/>
      <c r="B45" s="28"/>
      <c r="C45" s="28"/>
      <c r="D45" s="28"/>
      <c r="E45" s="28"/>
      <c r="F45" s="28"/>
      <c r="G45" s="28"/>
      <c r="H45" s="28"/>
      <c r="I45" s="28"/>
      <c r="J45" s="28"/>
      <c r="K45" s="28"/>
      <c r="L45" s="28"/>
      <c r="M45" s="28"/>
      <c r="N45" s="28"/>
      <c r="O45" s="28"/>
      <c r="P45" s="28"/>
      <c r="Q45" s="28"/>
      <c r="R45" s="28"/>
      <c r="S45" s="28"/>
      <c r="T45" s="28"/>
      <c r="U45" s="29"/>
      <c r="V45" s="28"/>
      <c r="W45" s="28"/>
      <c r="X45" s="28"/>
      <c r="Y45" s="28"/>
      <c r="Z45" s="28"/>
      <c r="AA45" s="28"/>
    </row>
    <row r="46" ht="15">
      <c r="U46" s="4"/>
    </row>
  </sheetData>
  <sheetProtection/>
  <mergeCells count="13">
    <mergeCell ref="O5:O8"/>
    <mergeCell ref="Q5:Q8"/>
    <mergeCell ref="AA5:AA8"/>
    <mergeCell ref="S5:S8"/>
    <mergeCell ref="U5:U8"/>
    <mergeCell ref="W5:W8"/>
    <mergeCell ref="Y5:Y8"/>
    <mergeCell ref="M5:M8"/>
    <mergeCell ref="C5:C8"/>
    <mergeCell ref="E5:E8"/>
    <mergeCell ref="G5:G8"/>
    <mergeCell ref="I5:I8"/>
    <mergeCell ref="K5:K8"/>
  </mergeCells>
  <printOptions/>
  <pageMargins left="0.25" right="0.25" top="1" bottom="1" header="0.3" footer="0.3"/>
  <pageSetup fitToHeight="1" fitToWidth="1" horizontalDpi="600" verticalDpi="600" orientation="portrait" paperSize="9" scale="48"/>
  <ignoredErrors>
    <ignoredError sqref="W42" formula="1"/>
    <ignoredError sqref="Z42" evalError="1"/>
  </ignoredErrors>
  <drawing r:id="rId1"/>
</worksheet>
</file>

<file path=xl/worksheets/sheet12.xml><?xml version="1.0" encoding="utf-8"?>
<worksheet xmlns="http://schemas.openxmlformats.org/spreadsheetml/2006/main" xmlns:r="http://schemas.openxmlformats.org/officeDocument/2006/relationships">
  <sheetPr>
    <pageSetUpPr fitToPage="1"/>
  </sheetPr>
  <dimension ref="A1:AG49"/>
  <sheetViews>
    <sheetView showGridLines="0" zoomScalePageLayoutView="0" workbookViewId="0" topLeftCell="A31">
      <pane xSplit="31460" topLeftCell="AC1" activePane="topLeft" state="split"/>
      <selection pane="topLeft" activeCell="A1" sqref="A1:IV65536"/>
      <selection pane="topRight" activeCell="A1" sqref="A1"/>
    </sheetView>
  </sheetViews>
  <sheetFormatPr defaultColWidth="9.140625" defaultRowHeight="12.75"/>
  <cols>
    <col min="1" max="1" width="16.14062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7.140625" style="2" customWidth="1"/>
    <col min="10" max="10" width="0.85546875" style="2" customWidth="1"/>
    <col min="11" max="11" width="7.710937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421875" style="2" customWidth="1"/>
    <col min="18" max="18" width="0.85546875" style="2" customWidth="1"/>
    <col min="19" max="19" width="12.421875" style="2" customWidth="1"/>
    <col min="20" max="20" width="0.85546875" style="2" customWidth="1"/>
    <col min="21" max="21" width="8.7109375" style="4" customWidth="1"/>
    <col min="22" max="22" width="0.85546875" style="2" customWidth="1"/>
    <col min="23" max="23" width="7.421875" style="2" customWidth="1"/>
    <col min="24" max="24" width="0.9921875" style="2" customWidth="1"/>
    <col min="25" max="25" width="7.7109375" style="2" customWidth="1"/>
    <col min="26" max="26" width="1.28515625" style="2" customWidth="1"/>
    <col min="27" max="27" width="7.8515625" style="2" customWidth="1"/>
    <col min="28" max="16384" width="9.140625" style="2" customWidth="1"/>
  </cols>
  <sheetData>
    <row r="1" spans="1:3" ht="15" customHeight="1">
      <c r="A1" s="1">
        <v>41680</v>
      </c>
      <c r="C1" s="3"/>
    </row>
    <row r="2" spans="1:27" ht="15" customHeight="1">
      <c r="A2" s="5" t="s">
        <v>81</v>
      </c>
      <c r="B2" s="6"/>
      <c r="C2" s="6"/>
      <c r="D2" s="6"/>
      <c r="E2" s="6"/>
      <c r="F2" s="6"/>
      <c r="G2" s="6"/>
      <c r="H2" s="6"/>
      <c r="I2" s="6"/>
      <c r="J2" s="6"/>
      <c r="K2" s="6"/>
      <c r="L2" s="6"/>
      <c r="M2" s="6"/>
      <c r="N2" s="6"/>
      <c r="O2" s="6"/>
      <c r="P2" s="6"/>
      <c r="Q2" s="6"/>
      <c r="R2" s="6"/>
      <c r="S2" s="6"/>
      <c r="T2" s="6"/>
      <c r="U2" s="6"/>
      <c r="V2" s="6"/>
      <c r="W2" s="6"/>
      <c r="X2" s="6"/>
      <c r="Y2" s="6"/>
      <c r="Z2" s="6"/>
      <c r="AA2" s="6"/>
    </row>
    <row r="3" spans="1:27" s="8" customFormat="1" ht="15" customHeight="1" thickBot="1">
      <c r="A3" s="7"/>
      <c r="B3" s="7"/>
      <c r="C3" s="7"/>
      <c r="D3" s="7"/>
      <c r="E3" s="7"/>
      <c r="F3" s="7"/>
      <c r="G3" s="7"/>
      <c r="H3" s="7"/>
      <c r="I3" s="7"/>
      <c r="J3" s="7"/>
      <c r="K3" s="7"/>
      <c r="L3" s="7"/>
      <c r="M3" s="7"/>
      <c r="N3" s="7"/>
      <c r="O3" s="7"/>
      <c r="P3" s="7"/>
      <c r="Q3" s="7"/>
      <c r="R3" s="7"/>
      <c r="S3" s="7"/>
      <c r="T3" s="7"/>
      <c r="U3" s="7"/>
      <c r="V3" s="7"/>
      <c r="W3" s="7"/>
      <c r="X3" s="7"/>
      <c r="Y3" s="7"/>
      <c r="Z3" s="7"/>
      <c r="AA3" s="7"/>
    </row>
    <row r="4" ht="15" customHeight="1"/>
    <row r="5" spans="1:27" s="12" customFormat="1" ht="15" customHeight="1">
      <c r="A5" s="9"/>
      <c r="B5" s="9"/>
      <c r="C5" s="51" t="s">
        <v>0</v>
      </c>
      <c r="D5" s="10"/>
      <c r="E5" s="51" t="s">
        <v>46</v>
      </c>
      <c r="F5" s="11"/>
      <c r="G5" s="51" t="s">
        <v>47</v>
      </c>
      <c r="H5" s="11"/>
      <c r="I5" s="51" t="s">
        <v>48</v>
      </c>
      <c r="J5" s="10"/>
      <c r="K5" s="51" t="s">
        <v>78</v>
      </c>
      <c r="L5" s="11"/>
      <c r="M5" s="51" t="s">
        <v>50</v>
      </c>
      <c r="N5" s="10"/>
      <c r="O5" s="51" t="s">
        <v>51</v>
      </c>
      <c r="P5" s="11"/>
      <c r="Q5" s="51" t="s">
        <v>52</v>
      </c>
      <c r="R5" s="11"/>
      <c r="S5" s="51" t="s">
        <v>53</v>
      </c>
      <c r="T5" s="11"/>
      <c r="U5" s="51" t="s">
        <v>54</v>
      </c>
      <c r="V5" s="10"/>
      <c r="W5" s="51" t="s">
        <v>55</v>
      </c>
      <c r="Y5" s="51" t="s">
        <v>56</v>
      </c>
      <c r="AA5" s="51" t="s">
        <v>57</v>
      </c>
    </row>
    <row r="6" spans="2:27" s="12" customFormat="1" ht="15" customHeight="1">
      <c r="B6" s="9"/>
      <c r="C6" s="52"/>
      <c r="D6" s="10"/>
      <c r="E6" s="52"/>
      <c r="F6" s="11"/>
      <c r="G6" s="52"/>
      <c r="H6" s="11"/>
      <c r="I6" s="52"/>
      <c r="J6" s="10"/>
      <c r="K6" s="52"/>
      <c r="L6" s="11"/>
      <c r="M6" s="52"/>
      <c r="N6" s="13"/>
      <c r="O6" s="52"/>
      <c r="P6" s="11"/>
      <c r="Q6" s="52"/>
      <c r="R6" s="11"/>
      <c r="S6" s="52"/>
      <c r="T6" s="11"/>
      <c r="U6" s="52"/>
      <c r="V6" s="10"/>
      <c r="W6" s="52"/>
      <c r="Y6" s="52"/>
      <c r="AA6" s="52"/>
    </row>
    <row r="7" spans="1:27" s="12" customFormat="1" ht="15" customHeight="1">
      <c r="A7" s="14"/>
      <c r="B7" s="9"/>
      <c r="C7" s="52"/>
      <c r="D7" s="10"/>
      <c r="E7" s="52"/>
      <c r="F7" s="11"/>
      <c r="G7" s="52"/>
      <c r="H7" s="11"/>
      <c r="I7" s="52"/>
      <c r="J7" s="10"/>
      <c r="K7" s="52"/>
      <c r="L7" s="11"/>
      <c r="M7" s="52"/>
      <c r="N7" s="13"/>
      <c r="O7" s="52"/>
      <c r="P7" s="11"/>
      <c r="Q7" s="52"/>
      <c r="R7" s="11"/>
      <c r="S7" s="52"/>
      <c r="T7" s="11"/>
      <c r="U7" s="52"/>
      <c r="V7" s="10"/>
      <c r="W7" s="52"/>
      <c r="Y7" s="52"/>
      <c r="AA7" s="52"/>
    </row>
    <row r="8" spans="1:27" s="12" customFormat="1" ht="15" customHeight="1">
      <c r="A8" s="14" t="s">
        <v>1</v>
      </c>
      <c r="B8" s="9"/>
      <c r="C8" s="52"/>
      <c r="D8" s="10"/>
      <c r="E8" s="52"/>
      <c r="F8" s="11"/>
      <c r="G8" s="52"/>
      <c r="H8" s="11"/>
      <c r="I8" s="52"/>
      <c r="J8" s="10"/>
      <c r="K8" s="52"/>
      <c r="L8" s="11"/>
      <c r="M8" s="52"/>
      <c r="N8" s="13"/>
      <c r="O8" s="52"/>
      <c r="P8" s="11"/>
      <c r="Q8" s="52"/>
      <c r="R8" s="11"/>
      <c r="S8" s="52"/>
      <c r="T8" s="11"/>
      <c r="U8" s="52"/>
      <c r="V8" s="10"/>
      <c r="W8" s="52"/>
      <c r="Y8" s="52"/>
      <c r="AA8" s="52"/>
    </row>
    <row r="9" spans="1:27" ht="15" customHeight="1">
      <c r="A9" s="15"/>
      <c r="B9" s="15"/>
      <c r="C9" s="16"/>
      <c r="D9" s="17"/>
      <c r="E9" s="16"/>
      <c r="F9" s="18"/>
      <c r="G9" s="16"/>
      <c r="H9" s="18"/>
      <c r="I9" s="16"/>
      <c r="J9" s="17"/>
      <c r="K9" s="16"/>
      <c r="L9" s="18"/>
      <c r="M9" s="16"/>
      <c r="N9" s="16"/>
      <c r="O9" s="18"/>
      <c r="P9" s="18"/>
      <c r="Q9" s="18"/>
      <c r="R9" s="18"/>
      <c r="S9" s="18"/>
      <c r="T9" s="18"/>
      <c r="U9" s="15"/>
      <c r="V9" s="17"/>
      <c r="W9" s="16"/>
      <c r="X9" s="16"/>
      <c r="Y9" s="16"/>
      <c r="Z9" s="16"/>
      <c r="AA9" s="16"/>
    </row>
    <row r="10" ht="15" customHeight="1"/>
    <row r="11" spans="1:27" ht="16.5">
      <c r="A11" s="12" t="s">
        <v>58</v>
      </c>
      <c r="C11" s="8" t="s">
        <v>2</v>
      </c>
      <c r="D11" s="19"/>
      <c r="E11" s="19">
        <v>30</v>
      </c>
      <c r="F11" s="20"/>
      <c r="G11" s="19">
        <f>100/(1-E11/100)</f>
        <v>142.85714285714286</v>
      </c>
      <c r="H11" s="19"/>
      <c r="I11" s="21">
        <v>100</v>
      </c>
      <c r="J11" s="21"/>
      <c r="K11" s="19"/>
      <c r="L11" s="20"/>
      <c r="M11" s="19">
        <v>48.5</v>
      </c>
      <c r="N11" s="19"/>
      <c r="O11" s="19">
        <v>142.9</v>
      </c>
      <c r="P11" s="19"/>
      <c r="Q11" s="19">
        <f>(O11-100)/O11*100</f>
        <v>30.020993701889438</v>
      </c>
      <c r="R11" s="19"/>
      <c r="S11" s="19">
        <f>+I11*(Q11/(100-Q11))</f>
        <v>42.90000000000001</v>
      </c>
      <c r="T11" s="20"/>
      <c r="U11" s="19">
        <f>+(M11/100)*MAX(I11,O11)-S11</f>
        <v>26.406499999999987</v>
      </c>
      <c r="V11" s="19"/>
      <c r="W11" s="22">
        <f aca="true" t="shared" si="0" ref="W11:W17">(G11-I11+U11)/G11*100</f>
        <v>48.48455</v>
      </c>
      <c r="X11" s="22"/>
      <c r="Y11" s="22">
        <f aca="true" t="shared" si="1" ref="Y11:Y20">((G11-I11)/((G11-I11)+U11))*100</f>
        <v>61.875380920313795</v>
      </c>
      <c r="Z11" s="20"/>
      <c r="AA11" s="22">
        <f aca="true" t="shared" si="2" ref="AA11:AA20">(U11/((G11-I11)+U11))*100</f>
        <v>38.12461907968619</v>
      </c>
    </row>
    <row r="12" spans="1:27" ht="15">
      <c r="A12" s="12" t="s">
        <v>3</v>
      </c>
      <c r="C12" s="8" t="s">
        <v>4</v>
      </c>
      <c r="E12" s="19">
        <v>25</v>
      </c>
      <c r="F12" s="20"/>
      <c r="G12" s="19">
        <f>100/(1-E12/100)</f>
        <v>133.33333333333334</v>
      </c>
      <c r="H12" s="19"/>
      <c r="I12" s="21">
        <v>100</v>
      </c>
      <c r="J12" s="21"/>
      <c r="K12" s="19">
        <v>25</v>
      </c>
      <c r="L12" s="20"/>
      <c r="M12" s="19">
        <v>25</v>
      </c>
      <c r="N12" s="19"/>
      <c r="O12" s="19"/>
      <c r="P12" s="19"/>
      <c r="Q12" s="19"/>
      <c r="R12" s="19"/>
      <c r="S12" s="19"/>
      <c r="T12" s="20"/>
      <c r="U12" s="19">
        <f>+(K12/100)*MAX(I12,O12)-S12</f>
        <v>25</v>
      </c>
      <c r="V12" s="19"/>
      <c r="W12" s="22">
        <f t="shared" si="0"/>
        <v>43.75000000000001</v>
      </c>
      <c r="X12" s="20"/>
      <c r="Y12" s="22">
        <f t="shared" si="1"/>
        <v>57.14285714285715</v>
      </c>
      <c r="AA12" s="22">
        <f t="shared" si="2"/>
        <v>42.85714285714285</v>
      </c>
    </row>
    <row r="13" spans="1:27" ht="16.5">
      <c r="A13" s="12" t="s">
        <v>59</v>
      </c>
      <c r="C13" s="8" t="s">
        <v>4</v>
      </c>
      <c r="E13" s="19">
        <f>33*1.03</f>
        <v>33.99</v>
      </c>
      <c r="F13" s="20"/>
      <c r="G13" s="19">
        <f aca="true" t="shared" si="3" ref="G13:G20">100/(1-E13/100)</f>
        <v>151.4921981517952</v>
      </c>
      <c r="H13" s="22"/>
      <c r="I13" s="21">
        <v>100</v>
      </c>
      <c r="J13" s="23"/>
      <c r="K13" s="22"/>
      <c r="L13" s="20"/>
      <c r="M13" s="19">
        <v>15</v>
      </c>
      <c r="N13" s="19"/>
      <c r="O13" s="19"/>
      <c r="P13" s="19"/>
      <c r="Q13" s="19"/>
      <c r="R13" s="19"/>
      <c r="S13" s="19"/>
      <c r="T13" s="20"/>
      <c r="U13" s="19">
        <f>+(M13/100)*MAX(I13,O13)-S13</f>
        <v>15</v>
      </c>
      <c r="V13" s="19"/>
      <c r="W13" s="22">
        <f t="shared" si="0"/>
        <v>43.89150000000001</v>
      </c>
      <c r="X13" s="20"/>
      <c r="Y13" s="22">
        <f t="shared" si="1"/>
        <v>77.44096237312465</v>
      </c>
      <c r="AA13" s="22">
        <f t="shared" si="2"/>
        <v>22.559037626875355</v>
      </c>
    </row>
    <row r="14" spans="1:27" ht="15">
      <c r="A14" s="12" t="s">
        <v>5</v>
      </c>
      <c r="C14" s="8" t="s">
        <v>6</v>
      </c>
      <c r="E14" s="19">
        <v>34.18</v>
      </c>
      <c r="F14" s="20"/>
      <c r="G14" s="19">
        <f t="shared" si="3"/>
        <v>151.92950470981464</v>
      </c>
      <c r="H14" s="22"/>
      <c r="I14" s="21">
        <v>100</v>
      </c>
      <c r="J14" s="23"/>
      <c r="K14" s="22"/>
      <c r="L14" s="20"/>
      <c r="M14" s="19">
        <f>29+11.16+6.25</f>
        <v>46.41</v>
      </c>
      <c r="N14" s="19"/>
      <c r="O14" s="19">
        <f>1.25*I14</f>
        <v>125</v>
      </c>
      <c r="P14" s="19"/>
      <c r="Q14" s="19">
        <f>13.3333+5.13+0.56*5.13</f>
        <v>21.336100000000002</v>
      </c>
      <c r="R14" s="19"/>
      <c r="S14" s="19">
        <f>+O14*Q14/100</f>
        <v>26.670125000000002</v>
      </c>
      <c r="T14" s="20"/>
      <c r="U14" s="19">
        <f>+(M14/100)*MAX(I14,O14)-S14</f>
        <v>31.342374999999993</v>
      </c>
      <c r="V14" s="19"/>
      <c r="W14" s="22">
        <f t="shared" si="0"/>
        <v>54.809551224999986</v>
      </c>
      <c r="X14" s="20"/>
      <c r="Y14" s="22">
        <f t="shared" si="1"/>
        <v>62.36139365507093</v>
      </c>
      <c r="AA14" s="22">
        <f t="shared" si="2"/>
        <v>37.63860634492907</v>
      </c>
    </row>
    <row r="15" spans="1:28" ht="15">
      <c r="A15" s="12" t="s">
        <v>41</v>
      </c>
      <c r="C15" s="8" t="s">
        <v>2</v>
      </c>
      <c r="E15" s="19">
        <v>17</v>
      </c>
      <c r="F15" s="20"/>
      <c r="G15" s="19">
        <f>100/(1-E15/100)</f>
        <v>120.48192771084338</v>
      </c>
      <c r="H15" s="22"/>
      <c r="I15" s="21">
        <v>100</v>
      </c>
      <c r="J15" s="23"/>
      <c r="K15" s="22" t="s">
        <v>34</v>
      </c>
      <c r="L15" s="20"/>
      <c r="M15" s="19">
        <v>40</v>
      </c>
      <c r="N15" s="19"/>
      <c r="O15" s="19">
        <v>120.48192771084338</v>
      </c>
      <c r="P15" s="19"/>
      <c r="Q15" s="19">
        <v>17.000000000000004</v>
      </c>
      <c r="R15" s="19"/>
      <c r="S15" s="19">
        <f>O15*Q15/100</f>
        <v>20.48192771084338</v>
      </c>
      <c r="T15" s="20" t="s">
        <v>40</v>
      </c>
      <c r="U15" s="19">
        <f>+(M15/100)*MAX(I15,O15)-S15</f>
        <v>27.710843373493972</v>
      </c>
      <c r="V15" s="19"/>
      <c r="W15" s="22">
        <f>(G15-I15+U15)/G15*100</f>
        <v>40</v>
      </c>
      <c r="X15" s="20"/>
      <c r="Y15" s="22">
        <f>((G15-I15)/((G15-I15)+U15))*100</f>
        <v>42.50000000000001</v>
      </c>
      <c r="AA15" s="22">
        <f>(U15/((G15-I15)+U15))*100</f>
        <v>57.499999999999986</v>
      </c>
      <c r="AB15" s="8"/>
    </row>
    <row r="16" spans="1:27" ht="15">
      <c r="A16" s="12" t="s">
        <v>7</v>
      </c>
      <c r="C16" s="8" t="s">
        <v>4</v>
      </c>
      <c r="E16" s="19">
        <v>26</v>
      </c>
      <c r="F16" s="20"/>
      <c r="G16" s="19">
        <f t="shared" si="3"/>
        <v>135.13513513513513</v>
      </c>
      <c r="H16" s="22"/>
      <c r="I16" s="21">
        <v>100</v>
      </c>
      <c r="J16" s="23"/>
      <c r="K16" s="22">
        <v>15</v>
      </c>
      <c r="L16" s="20"/>
      <c r="M16" s="19">
        <v>15</v>
      </c>
      <c r="N16" s="19"/>
      <c r="O16" s="19"/>
      <c r="P16" s="19"/>
      <c r="Q16" s="19"/>
      <c r="R16" s="19"/>
      <c r="S16" s="19"/>
      <c r="T16" s="20"/>
      <c r="U16" s="19">
        <f>+(M16/100)*MAX(I16,O16)-S16</f>
        <v>15</v>
      </c>
      <c r="V16" s="19"/>
      <c r="W16" s="22">
        <f t="shared" si="0"/>
        <v>37.1</v>
      </c>
      <c r="X16" s="20"/>
      <c r="Y16" s="22">
        <f t="shared" si="1"/>
        <v>70.08086253369272</v>
      </c>
      <c r="AA16" s="22">
        <f t="shared" si="2"/>
        <v>29.919137466307284</v>
      </c>
    </row>
    <row r="17" spans="1:27" ht="15">
      <c r="A17" s="12" t="s">
        <v>8</v>
      </c>
      <c r="C17" s="8" t="s">
        <v>29</v>
      </c>
      <c r="E17" s="19">
        <v>28</v>
      </c>
      <c r="F17" s="20"/>
      <c r="G17" s="19">
        <f t="shared" si="3"/>
        <v>138.88888888888889</v>
      </c>
      <c r="H17" s="22"/>
      <c r="I17" s="21">
        <v>100</v>
      </c>
      <c r="J17" s="23"/>
      <c r="K17" s="22"/>
      <c r="L17" s="20"/>
      <c r="M17" s="19">
        <v>43</v>
      </c>
      <c r="N17" s="19"/>
      <c r="O17" s="19"/>
      <c r="P17" s="19"/>
      <c r="Q17" s="19"/>
      <c r="R17" s="19"/>
      <c r="S17" s="19"/>
      <c r="T17" s="20"/>
      <c r="U17" s="19">
        <f>+(M17/100)*MAX(I17,O17)-S17</f>
        <v>43</v>
      </c>
      <c r="V17" s="19"/>
      <c r="W17" s="22">
        <f t="shared" si="0"/>
        <v>58.96</v>
      </c>
      <c r="X17" s="20"/>
      <c r="Y17" s="22">
        <f t="shared" si="1"/>
        <v>47.4898236092266</v>
      </c>
      <c r="AA17" s="22">
        <f t="shared" si="2"/>
        <v>52.51017639077341</v>
      </c>
    </row>
    <row r="18" spans="1:27" ht="15">
      <c r="A18" s="12" t="s">
        <v>44</v>
      </c>
      <c r="C18" s="8" t="s">
        <v>30</v>
      </c>
      <c r="E18" s="8">
        <v>24</v>
      </c>
      <c r="G18" s="19">
        <v>131.57894736842104</v>
      </c>
      <c r="H18" s="24"/>
      <c r="I18" s="21">
        <v>100</v>
      </c>
      <c r="J18" s="23"/>
      <c r="K18" s="24" t="s">
        <v>34</v>
      </c>
      <c r="M18" s="8">
        <v>0</v>
      </c>
      <c r="N18" s="8"/>
      <c r="O18" s="8"/>
      <c r="P18" s="8"/>
      <c r="Q18" s="8"/>
      <c r="R18" s="8"/>
      <c r="S18" s="8"/>
      <c r="U18" s="19">
        <v>0</v>
      </c>
      <c r="V18" s="19"/>
      <c r="W18" s="22">
        <v>23.999999999999993</v>
      </c>
      <c r="X18" s="20"/>
      <c r="Y18" s="22">
        <v>100</v>
      </c>
      <c r="Z18" s="20"/>
      <c r="AA18" s="22">
        <v>0</v>
      </c>
    </row>
    <row r="19" spans="1:27" ht="16.5">
      <c r="A19" s="12" t="s">
        <v>60</v>
      </c>
      <c r="C19" s="8" t="s">
        <v>25</v>
      </c>
      <c r="E19" s="19">
        <v>26</v>
      </c>
      <c r="F19" s="20"/>
      <c r="G19" s="19">
        <f t="shared" si="3"/>
        <v>135.13513513513513</v>
      </c>
      <c r="H19" s="22"/>
      <c r="I19" s="21">
        <f>G19-(E19*G19/100)</f>
        <v>100</v>
      </c>
      <c r="J19" s="23"/>
      <c r="K19" s="22"/>
      <c r="L19" s="20"/>
      <c r="M19" s="19">
        <v>28</v>
      </c>
      <c r="N19" s="19"/>
      <c r="O19" s="19"/>
      <c r="P19" s="19"/>
      <c r="Q19" s="19"/>
      <c r="R19" s="19"/>
      <c r="S19" s="19"/>
      <c r="T19" s="20"/>
      <c r="U19" s="19">
        <f>I19*0.57*M19/100</f>
        <v>15.959999999999997</v>
      </c>
      <c r="V19" s="19"/>
      <c r="W19" s="22">
        <f>((G19-I19+U19)/G19)*100</f>
        <v>37.810399999999994</v>
      </c>
      <c r="X19" s="20"/>
      <c r="Y19" s="22">
        <f t="shared" si="1"/>
        <v>68.76414954615662</v>
      </c>
      <c r="AA19" s="22">
        <f t="shared" si="2"/>
        <v>31.23585045384339</v>
      </c>
    </row>
    <row r="20" spans="1:27" ht="16.5">
      <c r="A20" s="12" t="s">
        <v>61</v>
      </c>
      <c r="C20" s="8" t="s">
        <v>25</v>
      </c>
      <c r="E20" s="19">
        <v>34.93</v>
      </c>
      <c r="F20" s="20"/>
      <c r="G20" s="19">
        <f t="shared" si="3"/>
        <v>153.6806516059628</v>
      </c>
      <c r="H20" s="22"/>
      <c r="I20" s="21">
        <f>G20-(E20*G20/100)</f>
        <v>100</v>
      </c>
      <c r="J20" s="23"/>
      <c r="K20" s="22"/>
      <c r="L20" s="20"/>
      <c r="M20" s="19">
        <f>11+((48.09/100)*((100/2)-5.8))</f>
        <v>32.25578</v>
      </c>
      <c r="N20" s="19"/>
      <c r="O20" s="19"/>
      <c r="P20" s="19"/>
      <c r="Q20" s="19"/>
      <c r="R20" s="19"/>
      <c r="S20" s="19"/>
      <c r="T20" s="20"/>
      <c r="U20" s="19">
        <f>+(M20/100)*MAX(I20,O20)-S20</f>
        <v>32.25578</v>
      </c>
      <c r="V20" s="19"/>
      <c r="W20" s="22">
        <f>((G20-I20+U20)/G20)*100</f>
        <v>55.918836045999996</v>
      </c>
      <c r="X20" s="20"/>
      <c r="Y20" s="22">
        <f t="shared" si="1"/>
        <v>62.465534817759526</v>
      </c>
      <c r="AA20" s="22">
        <f t="shared" si="2"/>
        <v>37.534465182240474</v>
      </c>
    </row>
    <row r="21" spans="1:27" ht="15">
      <c r="A21" s="12" t="s">
        <v>9</v>
      </c>
      <c r="C21" s="8" t="s">
        <v>25</v>
      </c>
      <c r="E21" s="19">
        <v>38.9</v>
      </c>
      <c r="F21" s="20"/>
      <c r="G21" s="19">
        <f>100/(1-E21/100)</f>
        <v>163.66612111292963</v>
      </c>
      <c r="H21" s="22"/>
      <c r="I21" s="21">
        <v>100</v>
      </c>
      <c r="J21" s="23"/>
      <c r="K21" s="22"/>
      <c r="L21" s="20"/>
      <c r="M21" s="19">
        <f>42*1.055</f>
        <v>44.309999999999995</v>
      </c>
      <c r="N21" s="19"/>
      <c r="O21" s="19"/>
      <c r="P21" s="19"/>
      <c r="Q21" s="19"/>
      <c r="R21" s="19"/>
      <c r="S21" s="19"/>
      <c r="T21" s="20"/>
      <c r="U21" s="22">
        <f>I21/2*M21/100</f>
        <v>22.154999999999994</v>
      </c>
      <c r="V21" s="19"/>
      <c r="W21" s="19">
        <f>(U21+(G21-I21))/G21*100</f>
        <v>52.436705</v>
      </c>
      <c r="X21" s="20"/>
      <c r="Y21" s="22">
        <f aca="true" t="shared" si="4" ref="Y21:Y42">((G21-I21)/((G21-I21)+U21))*100</f>
        <v>74.18467655433346</v>
      </c>
      <c r="AA21" s="22">
        <f aca="true" t="shared" si="5" ref="AA21:AA42">(U21/((G21-I21)+U21))*100</f>
        <v>25.815323445666532</v>
      </c>
    </row>
    <row r="22" spans="1:27" ht="15">
      <c r="A22" s="12" t="s">
        <v>10</v>
      </c>
      <c r="C22" s="8" t="s">
        <v>30</v>
      </c>
      <c r="E22" s="19">
        <v>32</v>
      </c>
      <c r="F22" s="20"/>
      <c r="G22" s="19">
        <f>100/(1-E22/100)</f>
        <v>147.05882352941177</v>
      </c>
      <c r="H22" s="22"/>
      <c r="I22" s="21">
        <v>100</v>
      </c>
      <c r="J22" s="23"/>
      <c r="K22" s="22"/>
      <c r="L22" s="20"/>
      <c r="M22" s="19">
        <v>0</v>
      </c>
      <c r="N22" s="19"/>
      <c r="O22" s="19"/>
      <c r="P22" s="19"/>
      <c r="Q22" s="19"/>
      <c r="R22" s="19"/>
      <c r="S22" s="19"/>
      <c r="T22" s="20"/>
      <c r="U22" s="19">
        <f>+(M22/100)*MAX(I22,O22)-S22</f>
        <v>0</v>
      </c>
      <c r="V22" s="19"/>
      <c r="W22" s="19">
        <f>(U22+(G22-I22))/G22*100</f>
        <v>32</v>
      </c>
      <c r="X22" s="20"/>
      <c r="Y22" s="22">
        <f t="shared" si="4"/>
        <v>100</v>
      </c>
      <c r="AA22" s="22">
        <f t="shared" si="5"/>
        <v>0</v>
      </c>
    </row>
    <row r="23" spans="1:27" ht="16.5">
      <c r="A23" s="12" t="s">
        <v>62</v>
      </c>
      <c r="C23" s="8" t="s">
        <v>27</v>
      </c>
      <c r="E23" s="19">
        <v>16</v>
      </c>
      <c r="F23" s="20"/>
      <c r="G23" s="19">
        <f aca="true" t="shared" si="6" ref="G23:G42">100/(1-E23/100)</f>
        <v>119.04761904761905</v>
      </c>
      <c r="H23" s="22"/>
      <c r="I23" s="21">
        <v>100</v>
      </c>
      <c r="J23" s="23"/>
      <c r="K23" s="22"/>
      <c r="L23" s="20"/>
      <c r="M23" s="19">
        <v>35</v>
      </c>
      <c r="N23" s="19"/>
      <c r="O23" s="19"/>
      <c r="P23" s="19"/>
      <c r="Q23" s="19"/>
      <c r="R23" s="19"/>
      <c r="S23" s="19"/>
      <c r="T23" s="20"/>
      <c r="U23" s="19">
        <f aca="true" t="shared" si="7" ref="U23:U29">+(M23/100)*MAX(I23,O23)-S23</f>
        <v>35</v>
      </c>
      <c r="V23" s="19"/>
      <c r="W23" s="22">
        <f>(G23-I23+U23)/G23*100</f>
        <v>45.4</v>
      </c>
      <c r="X23" s="20"/>
      <c r="Y23" s="22">
        <f t="shared" si="4"/>
        <v>35.24229074889868</v>
      </c>
      <c r="AA23" s="22">
        <f t="shared" si="5"/>
        <v>64.75770925110132</v>
      </c>
    </row>
    <row r="24" spans="1:27" ht="15">
      <c r="A24" s="12" t="s">
        <v>11</v>
      </c>
      <c r="C24" s="8" t="s">
        <v>4</v>
      </c>
      <c r="E24" s="19">
        <v>18</v>
      </c>
      <c r="F24" s="20"/>
      <c r="G24" s="19">
        <f t="shared" si="6"/>
        <v>121.95121951219511</v>
      </c>
      <c r="H24" s="19"/>
      <c r="I24" s="21">
        <v>100</v>
      </c>
      <c r="J24" s="21"/>
      <c r="K24" s="19"/>
      <c r="L24" s="20"/>
      <c r="M24" s="19">
        <v>10</v>
      </c>
      <c r="N24" s="19"/>
      <c r="O24" s="19"/>
      <c r="P24" s="19"/>
      <c r="Q24" s="19"/>
      <c r="R24" s="19"/>
      <c r="S24" s="19"/>
      <c r="T24" s="20"/>
      <c r="U24" s="19">
        <f t="shared" si="7"/>
        <v>10</v>
      </c>
      <c r="V24" s="19"/>
      <c r="W24" s="19">
        <f aca="true" t="shared" si="8" ref="W24:W30">(U24+(G24-I24))/G24*100</f>
        <v>26.19999999999999</v>
      </c>
      <c r="X24" s="20"/>
      <c r="Y24" s="22">
        <f t="shared" si="4"/>
        <v>68.70229007633587</v>
      </c>
      <c r="AA24" s="22">
        <f t="shared" si="5"/>
        <v>31.297709923664137</v>
      </c>
    </row>
    <row r="25" spans="1:27" ht="15">
      <c r="A25" s="12" t="s">
        <v>12</v>
      </c>
      <c r="C25" s="8" t="s">
        <v>4</v>
      </c>
      <c r="E25" s="19">
        <v>12.5</v>
      </c>
      <c r="F25" s="20"/>
      <c r="G25" s="19">
        <f t="shared" si="6"/>
        <v>114.28571428571429</v>
      </c>
      <c r="H25" s="19"/>
      <c r="I25" s="21">
        <v>100</v>
      </c>
      <c r="J25" s="21"/>
      <c r="K25" s="19"/>
      <c r="L25" s="20"/>
      <c r="M25" s="19">
        <v>42</v>
      </c>
      <c r="N25" s="19"/>
      <c r="O25" s="19"/>
      <c r="P25" s="19"/>
      <c r="Q25" s="19"/>
      <c r="R25" s="19"/>
      <c r="S25" s="19"/>
      <c r="T25" s="20"/>
      <c r="U25" s="19">
        <f t="shared" si="7"/>
        <v>42</v>
      </c>
      <c r="V25" s="19"/>
      <c r="W25" s="19">
        <f t="shared" si="8"/>
        <v>49.25000000000001</v>
      </c>
      <c r="X25" s="20"/>
      <c r="Y25" s="22">
        <f t="shared" si="4"/>
        <v>25.380710659898487</v>
      </c>
      <c r="AA25" s="22">
        <f t="shared" si="5"/>
        <v>74.61928934010152</v>
      </c>
    </row>
    <row r="26" spans="1:27" ht="15">
      <c r="A26" s="12" t="s">
        <v>43</v>
      </c>
      <c r="C26" s="8" t="s">
        <v>29</v>
      </c>
      <c r="E26" s="8">
        <v>34</v>
      </c>
      <c r="F26" s="20"/>
      <c r="G26" s="19">
        <v>151.51515151515153</v>
      </c>
      <c r="H26" s="19"/>
      <c r="I26" s="21">
        <v>100</v>
      </c>
      <c r="J26" s="21"/>
      <c r="K26" s="19"/>
      <c r="L26" s="20"/>
      <c r="M26" s="19">
        <v>25</v>
      </c>
      <c r="N26" s="19"/>
      <c r="O26" s="19"/>
      <c r="P26" s="19"/>
      <c r="Q26" s="19"/>
      <c r="R26" s="19"/>
      <c r="S26" s="19"/>
      <c r="T26" s="20"/>
      <c r="U26" s="19">
        <v>25</v>
      </c>
      <c r="V26" s="19"/>
      <c r="W26" s="19">
        <v>50.5</v>
      </c>
      <c r="X26" s="20"/>
      <c r="Y26" s="22">
        <v>67.32673267326733</v>
      </c>
      <c r="Z26" s="20"/>
      <c r="AA26" s="22">
        <v>32.67326732673267</v>
      </c>
    </row>
    <row r="27" spans="1:27" ht="16.5">
      <c r="A27" s="12" t="s">
        <v>82</v>
      </c>
      <c r="C27" s="8" t="s">
        <v>38</v>
      </c>
      <c r="E27" s="19">
        <v>33</v>
      </c>
      <c r="F27" s="20"/>
      <c r="G27" s="19">
        <f t="shared" si="6"/>
        <v>149.2537313432836</v>
      </c>
      <c r="H27" s="22"/>
      <c r="I27" s="21">
        <v>100</v>
      </c>
      <c r="J27" s="23"/>
      <c r="K27" s="22">
        <v>12.5</v>
      </c>
      <c r="L27" s="20"/>
      <c r="M27" s="19">
        <v>12.5</v>
      </c>
      <c r="N27" s="19"/>
      <c r="O27" s="19"/>
      <c r="P27" s="19"/>
      <c r="Q27" s="19"/>
      <c r="R27" s="19"/>
      <c r="S27" s="19"/>
      <c r="T27" s="20"/>
      <c r="U27" s="19">
        <f t="shared" si="7"/>
        <v>12.5</v>
      </c>
      <c r="V27" s="19"/>
      <c r="W27" s="19">
        <f t="shared" si="8"/>
        <v>41.375</v>
      </c>
      <c r="X27" s="20"/>
      <c r="Y27" s="22">
        <f t="shared" si="4"/>
        <v>79.7583081570997</v>
      </c>
      <c r="AA27" s="22">
        <f t="shared" si="5"/>
        <v>20.241691842900302</v>
      </c>
    </row>
    <row r="28" spans="1:27" s="27" customFormat="1" ht="16.5">
      <c r="A28" s="12" t="s">
        <v>83</v>
      </c>
      <c r="B28" s="2"/>
      <c r="C28" s="8" t="s">
        <v>29</v>
      </c>
      <c r="D28" s="2"/>
      <c r="E28" s="19">
        <v>39.54</v>
      </c>
      <c r="F28" s="2"/>
      <c r="G28" s="19">
        <f t="shared" si="6"/>
        <v>165.3986106516705</v>
      </c>
      <c r="H28" s="8"/>
      <c r="I28" s="21">
        <v>100</v>
      </c>
      <c r="J28" s="21"/>
      <c r="K28" s="19">
        <v>10</v>
      </c>
      <c r="M28" s="19">
        <v>10</v>
      </c>
      <c r="N28" s="19"/>
      <c r="O28" s="19"/>
      <c r="P28" s="8"/>
      <c r="Q28" s="19"/>
      <c r="R28" s="19"/>
      <c r="S28" s="19"/>
      <c r="U28" s="19">
        <f t="shared" si="7"/>
        <v>10</v>
      </c>
      <c r="V28" s="8"/>
      <c r="W28" s="19">
        <f t="shared" si="8"/>
        <v>45.58599999999999</v>
      </c>
      <c r="X28" s="19"/>
      <c r="Y28" s="22">
        <f t="shared" si="4"/>
        <v>86.7371561444303</v>
      </c>
      <c r="Z28" s="20"/>
      <c r="AA28" s="22">
        <f t="shared" si="5"/>
        <v>13.262843855569695</v>
      </c>
    </row>
    <row r="29" spans="1:29" s="27" customFormat="1" ht="15">
      <c r="A29" s="12" t="s">
        <v>15</v>
      </c>
      <c r="B29" s="2"/>
      <c r="C29" s="8" t="s">
        <v>6</v>
      </c>
      <c r="D29" s="2"/>
      <c r="E29" s="19">
        <v>27.5</v>
      </c>
      <c r="F29" s="2"/>
      <c r="G29" s="19">
        <f>100/(1-E29/100)</f>
        <v>137.93103448275863</v>
      </c>
      <c r="H29" s="8"/>
      <c r="I29" s="21">
        <v>100</v>
      </c>
      <c r="J29" s="33"/>
      <c r="K29" s="19"/>
      <c r="L29" s="19"/>
      <c r="M29" s="19">
        <v>38.5</v>
      </c>
      <c r="N29" s="20"/>
      <c r="O29" s="19">
        <v>115</v>
      </c>
      <c r="P29" s="2"/>
      <c r="Q29" s="19">
        <f>(O29-100)/O29*100</f>
        <v>13.043478260869565</v>
      </c>
      <c r="R29" s="19"/>
      <c r="S29" s="19">
        <f>+O29*Q29/100</f>
        <v>15</v>
      </c>
      <c r="U29" s="19">
        <f t="shared" si="7"/>
        <v>29.275</v>
      </c>
      <c r="V29" s="8"/>
      <c r="W29" s="19">
        <f>(U29+(G29-I29))/G29*100</f>
        <v>48.72437500000001</v>
      </c>
      <c r="X29" s="30"/>
      <c r="Y29" s="22">
        <f>((G29-I29)/((G29-I29)+U29))*100</f>
        <v>56.4399235495581</v>
      </c>
      <c r="Z29" s="2"/>
      <c r="AA29" s="22">
        <f>(U29/((G29-I29)+U29))*100</f>
        <v>43.56007645044188</v>
      </c>
      <c r="AB29" s="2"/>
      <c r="AC29" s="2"/>
    </row>
    <row r="30" spans="1:27" ht="15">
      <c r="A30" s="12" t="s">
        <v>16</v>
      </c>
      <c r="C30" s="8" t="s">
        <v>25</v>
      </c>
      <c r="E30" s="19">
        <v>30.4</v>
      </c>
      <c r="F30" s="20"/>
      <c r="G30" s="19">
        <f t="shared" si="6"/>
        <v>143.67816091954023</v>
      </c>
      <c r="H30" s="22"/>
      <c r="I30" s="21">
        <v>100</v>
      </c>
      <c r="J30" s="23"/>
      <c r="K30" s="22"/>
      <c r="L30" s="20"/>
      <c r="M30" s="19">
        <v>38.95</v>
      </c>
      <c r="N30" s="19"/>
      <c r="O30" s="19"/>
      <c r="P30" s="19"/>
      <c r="Q30" s="19"/>
      <c r="R30" s="19"/>
      <c r="S30" s="19"/>
      <c r="T30" s="20"/>
      <c r="U30" s="19">
        <f>I30/2*M30/100</f>
        <v>19.475</v>
      </c>
      <c r="V30" s="19"/>
      <c r="W30" s="19">
        <f t="shared" si="8"/>
        <v>43.954600000000006</v>
      </c>
      <c r="X30" s="20"/>
      <c r="Y30" s="22">
        <f t="shared" si="4"/>
        <v>69.16227198063456</v>
      </c>
      <c r="AA30" s="22">
        <f t="shared" si="5"/>
        <v>30.837728019365436</v>
      </c>
    </row>
    <row r="31" spans="1:27" ht="15">
      <c r="A31" s="12" t="s">
        <v>17</v>
      </c>
      <c r="C31" s="8" t="s">
        <v>2</v>
      </c>
      <c r="E31" s="19">
        <v>30</v>
      </c>
      <c r="F31" s="20"/>
      <c r="G31" s="19">
        <f t="shared" si="6"/>
        <v>142.85714285714286</v>
      </c>
      <c r="H31" s="19"/>
      <c r="I31" s="21">
        <v>100</v>
      </c>
      <c r="J31" s="21"/>
      <c r="K31" s="19"/>
      <c r="L31" s="20"/>
      <c r="M31" s="19">
        <v>30</v>
      </c>
      <c r="N31" s="19"/>
      <c r="O31" s="19">
        <f>100/(1-M31/100)</f>
        <v>142.85714285714286</v>
      </c>
      <c r="P31" s="19"/>
      <c r="Q31" s="19">
        <f>((O31-100)/O31)*100</f>
        <v>30.000000000000004</v>
      </c>
      <c r="R31" s="19"/>
      <c r="S31" s="19">
        <f>+I31*(Q31/(100-Q31))</f>
        <v>42.85714285714286</v>
      </c>
      <c r="T31" s="20"/>
      <c r="U31" s="19">
        <f>((Q31/100)*O31)-S31</f>
        <v>0</v>
      </c>
      <c r="V31" s="19"/>
      <c r="W31" s="22">
        <f aca="true" t="shared" si="9" ref="W31:W41">(G31-I31+U31)/G31*100</f>
        <v>30.000000000000004</v>
      </c>
      <c r="X31" s="20"/>
      <c r="Y31" s="22">
        <f t="shared" si="4"/>
        <v>100</v>
      </c>
      <c r="AA31" s="22">
        <f t="shared" si="5"/>
        <v>0</v>
      </c>
    </row>
    <row r="32" spans="1:27" ht="15">
      <c r="A32" s="12" t="s">
        <v>18</v>
      </c>
      <c r="C32" s="8" t="s">
        <v>4</v>
      </c>
      <c r="E32" s="19">
        <v>31.5</v>
      </c>
      <c r="F32" s="20"/>
      <c r="G32" s="19">
        <f t="shared" si="6"/>
        <v>145.985401459854</v>
      </c>
      <c r="H32" s="19"/>
      <c r="I32" s="21">
        <v>100</v>
      </c>
      <c r="J32" s="21"/>
      <c r="K32" s="19"/>
      <c r="L32" s="20"/>
      <c r="M32" s="19">
        <v>25</v>
      </c>
      <c r="N32" s="19"/>
      <c r="O32" s="19"/>
      <c r="P32" s="19"/>
      <c r="Q32" s="19"/>
      <c r="R32" s="19"/>
      <c r="S32" s="19"/>
      <c r="T32" s="20"/>
      <c r="U32" s="19">
        <f>+(M32/100)*MAX(I32,O32)-S32</f>
        <v>25</v>
      </c>
      <c r="V32" s="19"/>
      <c r="W32" s="22">
        <f t="shared" si="9"/>
        <v>48.62499999999999</v>
      </c>
      <c r="X32" s="20"/>
      <c r="Y32" s="22">
        <f t="shared" si="4"/>
        <v>64.78149100257068</v>
      </c>
      <c r="AA32" s="22">
        <f t="shared" si="5"/>
        <v>35.21850899742932</v>
      </c>
    </row>
    <row r="33" spans="1:27" ht="16.5">
      <c r="A33" s="12" t="s">
        <v>84</v>
      </c>
      <c r="C33" s="8" t="s">
        <v>2</v>
      </c>
      <c r="E33" s="19">
        <v>33</v>
      </c>
      <c r="F33" s="20"/>
      <c r="G33" s="19">
        <f t="shared" si="6"/>
        <v>149.2537313432836</v>
      </c>
      <c r="H33" s="19"/>
      <c r="I33" s="21">
        <v>100</v>
      </c>
      <c r="J33" s="21"/>
      <c r="K33" s="19"/>
      <c r="L33" s="20"/>
      <c r="M33" s="19">
        <v>39</v>
      </c>
      <c r="N33" s="19"/>
      <c r="O33" s="19">
        <v>149.3</v>
      </c>
      <c r="P33" s="19"/>
      <c r="Q33" s="19">
        <f>(O33-100)/O33*100</f>
        <v>33.02076356329538</v>
      </c>
      <c r="R33" s="19"/>
      <c r="S33" s="19">
        <f>+I33*(Q33/(100-Q33))</f>
        <v>49.30000000000002</v>
      </c>
      <c r="T33" s="20"/>
      <c r="U33" s="19">
        <f>+(M33/100)*MAX(I33,O33)-S33</f>
        <v>8.926999999999985</v>
      </c>
      <c r="V33" s="19"/>
      <c r="W33" s="22">
        <f t="shared" si="9"/>
        <v>38.981089999999995</v>
      </c>
      <c r="X33" s="20"/>
      <c r="Y33" s="22">
        <f t="shared" si="4"/>
        <v>84.65643213157972</v>
      </c>
      <c r="AA33" s="22">
        <f t="shared" si="5"/>
        <v>15.34356786842028</v>
      </c>
    </row>
    <row r="34" spans="1:27" ht="15">
      <c r="A34" s="12" t="s">
        <v>19</v>
      </c>
      <c r="C34" s="8" t="s">
        <v>2</v>
      </c>
      <c r="E34" s="19">
        <v>28</v>
      </c>
      <c r="F34" s="20"/>
      <c r="G34" s="19">
        <f t="shared" si="6"/>
        <v>138.88888888888889</v>
      </c>
      <c r="H34" s="19"/>
      <c r="I34" s="21">
        <v>100</v>
      </c>
      <c r="J34" s="21"/>
      <c r="K34" s="19"/>
      <c r="L34" s="20"/>
      <c r="M34" s="19">
        <v>28</v>
      </c>
      <c r="N34" s="19"/>
      <c r="O34" s="19">
        <v>138.9</v>
      </c>
      <c r="P34" s="19"/>
      <c r="Q34" s="19">
        <f>(O34-100)/O34*100</f>
        <v>28.005759539236863</v>
      </c>
      <c r="R34" s="19"/>
      <c r="S34" s="19">
        <f>+I34*(Q34/(100-Q34))</f>
        <v>38.9</v>
      </c>
      <c r="T34" s="20"/>
      <c r="U34" s="19">
        <f>+(M34/100)*MAX(I34,O34)-S34</f>
        <v>-0.007999999999995566</v>
      </c>
      <c r="V34" s="19"/>
      <c r="W34" s="22">
        <f t="shared" si="9"/>
        <v>27.994240000000005</v>
      </c>
      <c r="X34" s="20"/>
      <c r="Y34" s="22">
        <f t="shared" si="4"/>
        <v>100.02057566127888</v>
      </c>
      <c r="AA34" s="22">
        <f t="shared" si="5"/>
        <v>-0.020575661278880254</v>
      </c>
    </row>
    <row r="35" spans="1:33" ht="15">
      <c r="A35" s="12" t="s">
        <v>36</v>
      </c>
      <c r="C35" s="8" t="s">
        <v>29</v>
      </c>
      <c r="E35" s="19">
        <v>19</v>
      </c>
      <c r="F35" s="20"/>
      <c r="G35" s="19">
        <f t="shared" si="6"/>
        <v>123.45679012345678</v>
      </c>
      <c r="H35" s="22"/>
      <c r="I35" s="21">
        <v>100</v>
      </c>
      <c r="J35" s="23"/>
      <c r="K35" s="19">
        <v>19</v>
      </c>
      <c r="L35" s="19">
        <v>15</v>
      </c>
      <c r="M35" s="19">
        <v>19</v>
      </c>
      <c r="N35" s="19"/>
      <c r="O35" s="19"/>
      <c r="P35" s="19"/>
      <c r="Q35" s="19"/>
      <c r="R35" s="19"/>
      <c r="S35" s="19"/>
      <c r="T35" s="20"/>
      <c r="U35" s="19">
        <f>+(M35/100)*MAX(I35,O35)-S35</f>
        <v>19</v>
      </c>
      <c r="V35" s="19"/>
      <c r="W35" s="22">
        <f t="shared" si="9"/>
        <v>34.39</v>
      </c>
      <c r="X35" s="20"/>
      <c r="Y35" s="22">
        <f t="shared" si="4"/>
        <v>55.24861878453038</v>
      </c>
      <c r="AA35" s="22">
        <f t="shared" si="5"/>
        <v>44.75138121546962</v>
      </c>
      <c r="AB35" s="19"/>
      <c r="AC35" s="19"/>
      <c r="AD35" s="20"/>
      <c r="AE35" s="19"/>
      <c r="AG35" s="19"/>
    </row>
    <row r="36" spans="1:27" ht="15">
      <c r="A36" s="12" t="s">
        <v>20</v>
      </c>
      <c r="C36" s="8" t="s">
        <v>25</v>
      </c>
      <c r="E36" s="19">
        <v>27.5</v>
      </c>
      <c r="F36" s="20"/>
      <c r="G36" s="19">
        <f t="shared" si="6"/>
        <v>137.93103448275863</v>
      </c>
      <c r="H36" s="19"/>
      <c r="I36" s="21">
        <v>100</v>
      </c>
      <c r="J36" s="21"/>
      <c r="K36" s="19"/>
      <c r="L36" s="20"/>
      <c r="M36" s="19">
        <v>40</v>
      </c>
      <c r="N36" s="19"/>
      <c r="O36" s="19"/>
      <c r="P36" s="19"/>
      <c r="Q36" s="19"/>
      <c r="R36" s="19"/>
      <c r="S36" s="19"/>
      <c r="T36" s="20"/>
      <c r="U36" s="19">
        <f>I36/2*M36/100</f>
        <v>20</v>
      </c>
      <c r="V36" s="19"/>
      <c r="W36" s="22">
        <f t="shared" si="9"/>
        <v>42.00000000000001</v>
      </c>
      <c r="X36" s="20"/>
      <c r="Y36" s="22">
        <f t="shared" si="4"/>
        <v>65.47619047619048</v>
      </c>
      <c r="AA36" s="22">
        <f t="shared" si="5"/>
        <v>34.52380952380952</v>
      </c>
    </row>
    <row r="37" spans="1:27" ht="15">
      <c r="A37" s="12" t="s">
        <v>21</v>
      </c>
      <c r="C37" s="8" t="s">
        <v>30</v>
      </c>
      <c r="E37" s="19">
        <v>19</v>
      </c>
      <c r="F37" s="20"/>
      <c r="G37" s="19">
        <f t="shared" si="6"/>
        <v>123.45679012345678</v>
      </c>
      <c r="H37" s="22"/>
      <c r="I37" s="21">
        <v>100</v>
      </c>
      <c r="J37" s="23"/>
      <c r="K37" s="22"/>
      <c r="L37" s="20"/>
      <c r="M37" s="19">
        <v>0</v>
      </c>
      <c r="N37" s="19"/>
      <c r="O37" s="19"/>
      <c r="P37" s="19"/>
      <c r="Q37" s="19"/>
      <c r="R37" s="19"/>
      <c r="S37" s="19"/>
      <c r="T37" s="20"/>
      <c r="U37" s="19">
        <f>+(M37/100)*MAX(I37,O37)-S37</f>
        <v>0</v>
      </c>
      <c r="V37" s="19"/>
      <c r="W37" s="22">
        <f t="shared" si="9"/>
        <v>18.999999999999996</v>
      </c>
      <c r="X37" s="20"/>
      <c r="Y37" s="22">
        <f t="shared" si="4"/>
        <v>100</v>
      </c>
      <c r="AA37" s="22">
        <f t="shared" si="5"/>
        <v>0</v>
      </c>
    </row>
    <row r="38" spans="1:27" ht="15">
      <c r="A38" s="12" t="s">
        <v>42</v>
      </c>
      <c r="C38" s="8" t="s">
        <v>25</v>
      </c>
      <c r="E38" s="8">
        <v>25</v>
      </c>
      <c r="G38" s="19">
        <v>133.33333333333334</v>
      </c>
      <c r="H38" s="24"/>
      <c r="I38" s="21">
        <v>100</v>
      </c>
      <c r="J38" s="23"/>
      <c r="K38" s="24"/>
      <c r="M38" s="19">
        <v>50</v>
      </c>
      <c r="N38" s="19"/>
      <c r="O38" s="19"/>
      <c r="P38" s="19"/>
      <c r="Q38" s="19"/>
      <c r="R38" s="19"/>
      <c r="S38" s="19"/>
      <c r="T38" s="20"/>
      <c r="U38" s="19">
        <v>32.5</v>
      </c>
      <c r="V38" s="19"/>
      <c r="W38" s="22">
        <v>49.375</v>
      </c>
      <c r="X38" s="20"/>
      <c r="Y38" s="22">
        <v>50.63291139240506</v>
      </c>
      <c r="Z38" s="20"/>
      <c r="AA38" s="22">
        <v>49.36708860759493</v>
      </c>
    </row>
    <row r="39" spans="1:27" ht="15">
      <c r="A39" s="12" t="s">
        <v>22</v>
      </c>
      <c r="C39" s="8" t="s">
        <v>6</v>
      </c>
      <c r="E39" s="19">
        <v>35</v>
      </c>
      <c r="F39" s="20"/>
      <c r="G39" s="19">
        <f t="shared" si="6"/>
        <v>153.84615384615384</v>
      </c>
      <c r="H39" s="19"/>
      <c r="I39" s="21">
        <v>100</v>
      </c>
      <c r="J39" s="21"/>
      <c r="K39" s="19"/>
      <c r="L39" s="20"/>
      <c r="M39" s="19">
        <v>45</v>
      </c>
      <c r="N39" s="19"/>
      <c r="O39" s="19">
        <v>140</v>
      </c>
      <c r="P39" s="19"/>
      <c r="Q39" s="19">
        <f>(O39-100)/O39*100</f>
        <v>28.57142857142857</v>
      </c>
      <c r="R39" s="19"/>
      <c r="S39" s="19">
        <f>+I39*(Q39/(100-Q39))</f>
        <v>40</v>
      </c>
      <c r="T39" s="20"/>
      <c r="U39" s="19">
        <f>+(M39/100)*MAX(I39,O39)-S39</f>
        <v>23</v>
      </c>
      <c r="V39" s="19"/>
      <c r="W39" s="22">
        <f t="shared" si="9"/>
        <v>49.95</v>
      </c>
      <c r="X39" s="20"/>
      <c r="Y39" s="22">
        <f t="shared" si="4"/>
        <v>70.07007007007007</v>
      </c>
      <c r="AA39" s="22">
        <f t="shared" si="5"/>
        <v>29.929929929929934</v>
      </c>
    </row>
    <row r="40" spans="1:27" ht="15">
      <c r="A40" s="12" t="s">
        <v>23</v>
      </c>
      <c r="C40" s="8" t="s">
        <v>4</v>
      </c>
      <c r="E40" s="19">
        <v>28</v>
      </c>
      <c r="F40" s="20"/>
      <c r="G40" s="19">
        <f t="shared" si="6"/>
        <v>138.88888888888889</v>
      </c>
      <c r="H40" s="19"/>
      <c r="I40" s="21">
        <v>100</v>
      </c>
      <c r="J40" s="21"/>
      <c r="K40" s="19"/>
      <c r="L40" s="20"/>
      <c r="M40" s="19">
        <v>30</v>
      </c>
      <c r="N40" s="19"/>
      <c r="O40" s="19"/>
      <c r="P40" s="19"/>
      <c r="Q40" s="19"/>
      <c r="R40" s="19"/>
      <c r="S40" s="19"/>
      <c r="T40" s="20"/>
      <c r="U40" s="19">
        <f>+(M40/100)*MAX(I40,O40)-S40</f>
        <v>30</v>
      </c>
      <c r="V40" s="19"/>
      <c r="W40" s="22">
        <f t="shared" si="9"/>
        <v>49.6</v>
      </c>
      <c r="X40" s="20"/>
      <c r="Y40" s="22">
        <f t="shared" si="4"/>
        <v>56.4516129032258</v>
      </c>
      <c r="AA40" s="22">
        <f t="shared" si="5"/>
        <v>43.54838709677419</v>
      </c>
    </row>
    <row r="41" spans="1:27" ht="16.5">
      <c r="A41" s="12" t="s">
        <v>85</v>
      </c>
      <c r="C41" s="8" t="s">
        <v>4</v>
      </c>
      <c r="E41" s="19">
        <v>24.099823911591475</v>
      </c>
      <c r="F41" s="20"/>
      <c r="G41" s="19">
        <f t="shared" si="6"/>
        <v>131.752</v>
      </c>
      <c r="H41" s="19"/>
      <c r="I41" s="21">
        <v>100</v>
      </c>
      <c r="J41" s="21"/>
      <c r="K41" s="19"/>
      <c r="L41" s="20"/>
      <c r="M41" s="19">
        <f>13*(1+1.22)+11.5</f>
        <v>40.36</v>
      </c>
      <c r="N41" s="19"/>
      <c r="O41" s="19"/>
      <c r="P41" s="19"/>
      <c r="Q41" s="19"/>
      <c r="R41" s="19"/>
      <c r="S41" s="19"/>
      <c r="T41" s="20"/>
      <c r="U41" s="19">
        <f>+(M41/100)*MAX(I41,O41)-S41</f>
        <v>40.36</v>
      </c>
      <c r="V41" s="19"/>
      <c r="W41" s="22">
        <f t="shared" si="9"/>
        <v>54.73313498087315</v>
      </c>
      <c r="X41" s="20"/>
      <c r="Y41" s="22">
        <f t="shared" si="4"/>
        <v>44.03150654537387</v>
      </c>
      <c r="AA41" s="22">
        <f t="shared" si="5"/>
        <v>55.968493454626135</v>
      </c>
    </row>
    <row r="42" spans="1:28" ht="15">
      <c r="A42" s="12" t="s">
        <v>24</v>
      </c>
      <c r="C42" s="8" t="s">
        <v>25</v>
      </c>
      <c r="E42" s="19">
        <v>30</v>
      </c>
      <c r="F42" s="20"/>
      <c r="G42" s="19">
        <f t="shared" si="6"/>
        <v>142.85714285714286</v>
      </c>
      <c r="H42" s="19"/>
      <c r="I42" s="21">
        <v>100</v>
      </c>
      <c r="J42" s="21"/>
      <c r="K42" s="19"/>
      <c r="L42" s="20"/>
      <c r="M42" s="19">
        <v>40</v>
      </c>
      <c r="N42" s="19"/>
      <c r="O42" s="19"/>
      <c r="P42" s="19"/>
      <c r="Q42" s="19"/>
      <c r="R42" s="19"/>
      <c r="S42" s="19">
        <v>0</v>
      </c>
      <c r="T42" s="20"/>
      <c r="U42" s="19">
        <f>(I42/2*M42/100)-(I42*10/100)+(I42*10/100)</f>
        <v>20</v>
      </c>
      <c r="V42" s="19"/>
      <c r="W42" s="22">
        <f>(U42+(G42-100))/G42*100</f>
        <v>44</v>
      </c>
      <c r="X42" s="20"/>
      <c r="Y42" s="22">
        <f t="shared" si="4"/>
        <v>68.18181818181819</v>
      </c>
      <c r="Z42" s="22" t="e">
        <f>(H42-J42)/(H42-J42+L42+V42)*100</f>
        <v>#DIV/0!</v>
      </c>
      <c r="AA42" s="22">
        <f t="shared" si="5"/>
        <v>31.818181818181817</v>
      </c>
      <c r="AB42" s="20"/>
    </row>
    <row r="43" spans="1:28" ht="16.5">
      <c r="A43" s="12" t="s">
        <v>74</v>
      </c>
      <c r="C43" s="8" t="s">
        <v>6</v>
      </c>
      <c r="D43" s="8"/>
      <c r="E43" s="19">
        <v>30</v>
      </c>
      <c r="F43" s="20"/>
      <c r="G43" s="19">
        <f>100/(1-E43/100)</f>
        <v>142.85714285714286</v>
      </c>
      <c r="H43" s="19"/>
      <c r="I43" s="21">
        <v>100</v>
      </c>
      <c r="J43" s="21"/>
      <c r="K43" s="19"/>
      <c r="L43" s="20"/>
      <c r="M43" s="19">
        <v>32.5</v>
      </c>
      <c r="N43" s="19"/>
      <c r="O43" s="19">
        <v>111.11</v>
      </c>
      <c r="P43" s="19"/>
      <c r="Q43" s="19">
        <f>(O43-100)/O43*100</f>
        <v>9.99909999099991</v>
      </c>
      <c r="R43" s="19"/>
      <c r="S43" s="19">
        <f>+I43*(Q43/(100-Q43))</f>
        <v>11.110000000000001</v>
      </c>
      <c r="T43" s="20"/>
      <c r="U43" s="19">
        <f>+(M43/100)*MAX(I43,O43)-S43</f>
        <v>25.000750000000004</v>
      </c>
      <c r="V43" s="19"/>
      <c r="W43" s="22">
        <f>(G43-I43+U43)/G43*100</f>
        <v>47.50052500000001</v>
      </c>
      <c r="X43" s="22"/>
      <c r="Y43" s="22">
        <f>((G43-I43)/((G43-I43)+U43))*100</f>
        <v>63.15719668361559</v>
      </c>
      <c r="Z43" s="20"/>
      <c r="AA43" s="22">
        <f>(U43/((G43-I43)+U43))*100</f>
        <v>36.84280331638439</v>
      </c>
      <c r="AB43" s="20"/>
    </row>
    <row r="44" spans="1:27" ht="16.5">
      <c r="A44" s="12" t="s">
        <v>75</v>
      </c>
      <c r="C44" s="8" t="s">
        <v>29</v>
      </c>
      <c r="E44" s="19">
        <v>39.3</v>
      </c>
      <c r="F44" s="20"/>
      <c r="G44" s="19">
        <f>100/(1-E44/100)</f>
        <v>164.74464579901155</v>
      </c>
      <c r="H44" s="19"/>
      <c r="I44" s="21">
        <v>100</v>
      </c>
      <c r="J44" s="21"/>
      <c r="K44" s="19"/>
      <c r="L44" s="20"/>
      <c r="M44" s="19">
        <v>20.9</v>
      </c>
      <c r="N44" s="19"/>
      <c r="O44" s="19"/>
      <c r="P44" s="19"/>
      <c r="Q44" s="19"/>
      <c r="R44" s="19"/>
      <c r="S44" s="19"/>
      <c r="T44" s="20"/>
      <c r="U44" s="19">
        <f>+(M44/100)*MAX(I44,O44)-S44</f>
        <v>20.9</v>
      </c>
      <c r="V44" s="19"/>
      <c r="W44" s="22">
        <f>(G44-I44+U44)/G44*100</f>
        <v>51.98630000000001</v>
      </c>
      <c r="X44" s="20"/>
      <c r="Y44" s="22">
        <f>((G44-I44)/((G44-I44)+U44))*100</f>
        <v>75.59683993667562</v>
      </c>
      <c r="AA44" s="22">
        <f>(U44/((G44-I44)+U44))*100</f>
        <v>24.403160063324368</v>
      </c>
    </row>
    <row r="45" spans="1:27" ht="5.25" customHeight="1" thickBot="1">
      <c r="A45" s="28"/>
      <c r="B45" s="28"/>
      <c r="C45" s="28"/>
      <c r="D45" s="28"/>
      <c r="E45" s="28"/>
      <c r="F45" s="28"/>
      <c r="G45" s="28"/>
      <c r="H45" s="28"/>
      <c r="I45" s="28"/>
      <c r="J45" s="28"/>
      <c r="K45" s="28"/>
      <c r="L45" s="28"/>
      <c r="M45" s="28"/>
      <c r="N45" s="28"/>
      <c r="O45" s="28"/>
      <c r="P45" s="28"/>
      <c r="Q45" s="28"/>
      <c r="R45" s="28"/>
      <c r="S45" s="28"/>
      <c r="T45" s="28"/>
      <c r="U45" s="29"/>
      <c r="V45" s="28"/>
      <c r="W45" s="28"/>
      <c r="X45" s="28"/>
      <c r="Y45" s="28"/>
      <c r="Z45" s="28"/>
      <c r="AA45" s="28"/>
    </row>
    <row r="46" ht="5.25" customHeight="1"/>
    <row r="47" ht="12.75" customHeight="1"/>
    <row r="48" ht="12.75" customHeight="1">
      <c r="A48" s="12"/>
    </row>
    <row r="49" spans="1:3" ht="12.75" customHeight="1">
      <c r="A49" s="53"/>
      <c r="B49" s="53"/>
      <c r="C49" s="53"/>
    </row>
    <row r="50" ht="12.75" customHeight="1"/>
    <row r="51" ht="12.75" customHeight="1"/>
    <row r="52" ht="12.75" customHeight="1"/>
    <row r="53" ht="12.75" customHeight="1"/>
    <row r="54" ht="12.75" customHeight="1"/>
    <row r="55" ht="12.75" customHeight="1"/>
    <row r="56" ht="12.75" customHeight="1"/>
  </sheetData>
  <sheetProtection/>
  <mergeCells count="14">
    <mergeCell ref="C5:C8"/>
    <mergeCell ref="E5:E8"/>
    <mergeCell ref="G5:G8"/>
    <mergeCell ref="I5:I8"/>
    <mergeCell ref="A49:C49"/>
    <mergeCell ref="M5:M8"/>
    <mergeCell ref="K5:K8"/>
    <mergeCell ref="O5:O8"/>
    <mergeCell ref="Q5:Q8"/>
    <mergeCell ref="AA5:AA8"/>
    <mergeCell ref="S5:S8"/>
    <mergeCell ref="U5:U8"/>
    <mergeCell ref="W5:W8"/>
    <mergeCell ref="Y5:Y8"/>
  </mergeCells>
  <printOptions/>
  <pageMargins left="0.25" right="0.25" top="1" bottom="1" header="0.3" footer="0.3"/>
  <pageSetup fitToHeight="1" fitToWidth="1" horizontalDpi="600" verticalDpi="600" orientation="portrait" paperSize="9" scale="53"/>
  <ignoredErrors>
    <ignoredError sqref="G21 U12 W23 U36 U42 W42" formula="1"/>
    <ignoredError sqref="Z42" evalError="1"/>
  </ignoredErrors>
  <drawing r:id="rId1"/>
</worksheet>
</file>

<file path=xl/worksheets/sheet13.xml><?xml version="1.0" encoding="utf-8"?>
<worksheet xmlns="http://schemas.openxmlformats.org/spreadsheetml/2006/main" xmlns:r="http://schemas.openxmlformats.org/officeDocument/2006/relationships">
  <sheetPr>
    <pageSetUpPr fitToPage="1"/>
  </sheetPr>
  <dimension ref="A1:AC49"/>
  <sheetViews>
    <sheetView showGridLines="0" zoomScalePageLayoutView="0" workbookViewId="0" topLeftCell="A22">
      <selection activeCell="A1" sqref="A1:IV65536"/>
    </sheetView>
  </sheetViews>
  <sheetFormatPr defaultColWidth="9.140625" defaultRowHeight="12.75"/>
  <cols>
    <col min="1" max="1" width="17.2812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7.140625" style="2" customWidth="1"/>
    <col min="10" max="10" width="0.85546875" style="2" customWidth="1"/>
    <col min="11" max="11" width="7.710937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421875" style="2" customWidth="1"/>
    <col min="18" max="18" width="0.85546875" style="2" customWidth="1"/>
    <col min="19" max="19" width="12.421875" style="2" customWidth="1"/>
    <col min="20" max="20" width="0.85546875" style="2" customWidth="1"/>
    <col min="21" max="21" width="8.7109375" style="4" customWidth="1"/>
    <col min="22" max="22" width="0.85546875" style="2" customWidth="1"/>
    <col min="23" max="23" width="7.421875" style="2" customWidth="1"/>
    <col min="24" max="24" width="0.9921875" style="2" customWidth="1"/>
    <col min="25" max="25" width="7.7109375" style="2" customWidth="1"/>
    <col min="26" max="26" width="1.28515625" style="2" customWidth="1"/>
    <col min="27" max="27" width="7.8515625" style="2" customWidth="1"/>
    <col min="28" max="16384" width="9.140625" style="2" customWidth="1"/>
  </cols>
  <sheetData>
    <row r="1" spans="1:3" ht="15" customHeight="1">
      <c r="A1" s="1">
        <v>41680</v>
      </c>
      <c r="C1" s="3"/>
    </row>
    <row r="2" spans="1:27" ht="15" customHeight="1">
      <c r="A2" s="5" t="s">
        <v>80</v>
      </c>
      <c r="B2" s="6"/>
      <c r="C2" s="6"/>
      <c r="D2" s="6"/>
      <c r="E2" s="6"/>
      <c r="F2" s="6"/>
      <c r="G2" s="6"/>
      <c r="H2" s="6"/>
      <c r="I2" s="6"/>
      <c r="J2" s="6"/>
      <c r="K2" s="6"/>
      <c r="L2" s="6"/>
      <c r="M2" s="6"/>
      <c r="N2" s="6"/>
      <c r="O2" s="6"/>
      <c r="P2" s="6"/>
      <c r="Q2" s="6"/>
      <c r="R2" s="6"/>
      <c r="S2" s="6"/>
      <c r="T2" s="6"/>
      <c r="U2" s="6"/>
      <c r="V2" s="6"/>
      <c r="W2" s="6"/>
      <c r="X2" s="6"/>
      <c r="Y2" s="6"/>
      <c r="Z2" s="6"/>
      <c r="AA2" s="6"/>
    </row>
    <row r="3" spans="1:27" s="8" customFormat="1" ht="15" customHeight="1" thickBot="1">
      <c r="A3" s="7"/>
      <c r="B3" s="7"/>
      <c r="C3" s="7"/>
      <c r="D3" s="7"/>
      <c r="E3" s="7"/>
      <c r="F3" s="7"/>
      <c r="G3" s="7"/>
      <c r="H3" s="7"/>
      <c r="I3" s="7"/>
      <c r="J3" s="7"/>
      <c r="K3" s="7"/>
      <c r="L3" s="7"/>
      <c r="M3" s="7"/>
      <c r="N3" s="7"/>
      <c r="O3" s="7"/>
      <c r="P3" s="7"/>
      <c r="Q3" s="7"/>
      <c r="R3" s="7"/>
      <c r="S3" s="7"/>
      <c r="T3" s="7"/>
      <c r="U3" s="7"/>
      <c r="V3" s="7"/>
      <c r="W3" s="7"/>
      <c r="X3" s="7"/>
      <c r="Y3" s="7"/>
      <c r="Z3" s="7"/>
      <c r="AA3" s="7"/>
    </row>
    <row r="4" ht="15" customHeight="1"/>
    <row r="5" spans="1:27" s="12" customFormat="1" ht="15" customHeight="1">
      <c r="A5" s="9"/>
      <c r="B5" s="9"/>
      <c r="C5" s="51" t="s">
        <v>0</v>
      </c>
      <c r="D5" s="10"/>
      <c r="E5" s="51" t="s">
        <v>46</v>
      </c>
      <c r="F5" s="11"/>
      <c r="G5" s="51" t="s">
        <v>47</v>
      </c>
      <c r="H5" s="11"/>
      <c r="I5" s="51" t="s">
        <v>48</v>
      </c>
      <c r="J5" s="10"/>
      <c r="K5" s="51" t="s">
        <v>78</v>
      </c>
      <c r="L5" s="11"/>
      <c r="M5" s="51" t="s">
        <v>50</v>
      </c>
      <c r="N5" s="10"/>
      <c r="O5" s="51" t="s">
        <v>51</v>
      </c>
      <c r="P5" s="11"/>
      <c r="Q5" s="51" t="s">
        <v>52</v>
      </c>
      <c r="R5" s="11"/>
      <c r="S5" s="51" t="s">
        <v>53</v>
      </c>
      <c r="T5" s="11"/>
      <c r="U5" s="51" t="s">
        <v>54</v>
      </c>
      <c r="V5" s="10"/>
      <c r="W5" s="51" t="s">
        <v>55</v>
      </c>
      <c r="Y5" s="51" t="s">
        <v>56</v>
      </c>
      <c r="AA5" s="51" t="s">
        <v>57</v>
      </c>
    </row>
    <row r="6" spans="2:27" s="12" customFormat="1" ht="15" customHeight="1">
      <c r="B6" s="9"/>
      <c r="C6" s="52"/>
      <c r="D6" s="10"/>
      <c r="E6" s="52"/>
      <c r="F6" s="11"/>
      <c r="G6" s="52"/>
      <c r="H6" s="11"/>
      <c r="I6" s="52"/>
      <c r="J6" s="10"/>
      <c r="K6" s="52"/>
      <c r="L6" s="11"/>
      <c r="M6" s="52"/>
      <c r="N6" s="13"/>
      <c r="O6" s="52"/>
      <c r="P6" s="11"/>
      <c r="Q6" s="52"/>
      <c r="R6" s="11"/>
      <c r="S6" s="52"/>
      <c r="T6" s="11"/>
      <c r="U6" s="52"/>
      <c r="V6" s="10"/>
      <c r="W6" s="52"/>
      <c r="Y6" s="52"/>
      <c r="AA6" s="52"/>
    </row>
    <row r="7" spans="1:27" s="12" customFormat="1" ht="15" customHeight="1">
      <c r="A7" s="14"/>
      <c r="B7" s="9"/>
      <c r="C7" s="52"/>
      <c r="D7" s="10"/>
      <c r="E7" s="52"/>
      <c r="F7" s="11"/>
      <c r="G7" s="52"/>
      <c r="H7" s="11"/>
      <c r="I7" s="52"/>
      <c r="J7" s="10"/>
      <c r="K7" s="52"/>
      <c r="L7" s="11"/>
      <c r="M7" s="52"/>
      <c r="N7" s="13"/>
      <c r="O7" s="52"/>
      <c r="P7" s="11"/>
      <c r="Q7" s="52"/>
      <c r="R7" s="11"/>
      <c r="S7" s="52"/>
      <c r="T7" s="11"/>
      <c r="U7" s="52"/>
      <c r="V7" s="10"/>
      <c r="W7" s="52"/>
      <c r="Y7" s="52"/>
      <c r="AA7" s="52"/>
    </row>
    <row r="8" spans="1:27" s="12" customFormat="1" ht="15" customHeight="1">
      <c r="A8" s="14" t="s">
        <v>1</v>
      </c>
      <c r="B8" s="9"/>
      <c r="C8" s="52"/>
      <c r="D8" s="10"/>
      <c r="E8" s="52"/>
      <c r="F8" s="11"/>
      <c r="G8" s="52"/>
      <c r="H8" s="11"/>
      <c r="I8" s="52"/>
      <c r="J8" s="10"/>
      <c r="K8" s="52"/>
      <c r="L8" s="11"/>
      <c r="M8" s="52"/>
      <c r="N8" s="13"/>
      <c r="O8" s="52"/>
      <c r="P8" s="11"/>
      <c r="Q8" s="52"/>
      <c r="R8" s="11"/>
      <c r="S8" s="52"/>
      <c r="T8" s="11"/>
      <c r="U8" s="52"/>
      <c r="V8" s="10"/>
      <c r="W8" s="52"/>
      <c r="Y8" s="52"/>
      <c r="AA8" s="52"/>
    </row>
    <row r="9" spans="1:27" ht="15" customHeight="1">
      <c r="A9" s="15"/>
      <c r="B9" s="15"/>
      <c r="C9" s="16"/>
      <c r="D9" s="17"/>
      <c r="E9" s="16"/>
      <c r="F9" s="18"/>
      <c r="G9" s="16"/>
      <c r="H9" s="18"/>
      <c r="I9" s="16"/>
      <c r="J9" s="17"/>
      <c r="K9" s="16"/>
      <c r="L9" s="18"/>
      <c r="M9" s="16"/>
      <c r="N9" s="16"/>
      <c r="O9" s="18"/>
      <c r="P9" s="18"/>
      <c r="Q9" s="18"/>
      <c r="R9" s="18"/>
      <c r="S9" s="18"/>
      <c r="T9" s="18"/>
      <c r="U9" s="15"/>
      <c r="V9" s="17"/>
      <c r="W9" s="16"/>
      <c r="X9" s="16"/>
      <c r="Y9" s="16"/>
      <c r="Z9" s="16"/>
      <c r="AA9" s="16"/>
    </row>
    <row r="10" ht="15" customHeight="1"/>
    <row r="11" spans="1:27" ht="16.5">
      <c r="A11" s="12" t="s">
        <v>58</v>
      </c>
      <c r="C11" s="8" t="s">
        <v>2</v>
      </c>
      <c r="D11" s="19"/>
      <c r="E11" s="19">
        <v>30</v>
      </c>
      <c r="F11" s="20"/>
      <c r="G11" s="19">
        <f aca="true" t="shared" si="0" ref="G11:G20">100/(1-E11/100)</f>
        <v>142.85714285714286</v>
      </c>
      <c r="H11" s="19"/>
      <c r="I11" s="21">
        <v>100</v>
      </c>
      <c r="J11" s="21"/>
      <c r="K11" s="19"/>
      <c r="L11" s="20"/>
      <c r="M11" s="19">
        <v>48.5</v>
      </c>
      <c r="N11" s="19"/>
      <c r="O11" s="19">
        <v>142.9</v>
      </c>
      <c r="P11" s="19"/>
      <c r="Q11" s="19">
        <f>(O11-100)/O11*100</f>
        <v>30.020993701889438</v>
      </c>
      <c r="R11" s="19"/>
      <c r="S11" s="19">
        <f>+I11*(Q11/(100-Q11))</f>
        <v>42.90000000000001</v>
      </c>
      <c r="T11" s="20"/>
      <c r="U11" s="19">
        <f>+(M11/100)*MAX(I11,O11)-S11</f>
        <v>26.406499999999987</v>
      </c>
      <c r="V11" s="19"/>
      <c r="W11" s="22">
        <f aca="true" t="shared" si="1" ref="W11:W17">(G11-I11+U11)/G11*100</f>
        <v>48.48455</v>
      </c>
      <c r="X11" s="22"/>
      <c r="Y11" s="22">
        <f aca="true" t="shared" si="2" ref="Y11:Y17">((G11-I11)/((G11-I11)+U11))*100</f>
        <v>61.875380920313795</v>
      </c>
      <c r="Z11" s="20"/>
      <c r="AA11" s="22">
        <f aca="true" t="shared" si="3" ref="AA11:AA17">(U11/((G11-I11)+U11))*100</f>
        <v>38.12461907968619</v>
      </c>
    </row>
    <row r="12" spans="1:27" ht="15">
      <c r="A12" s="12" t="s">
        <v>3</v>
      </c>
      <c r="C12" s="8" t="s">
        <v>4</v>
      </c>
      <c r="E12" s="19">
        <v>34</v>
      </c>
      <c r="F12" s="20"/>
      <c r="G12" s="19">
        <f t="shared" si="0"/>
        <v>151.51515151515153</v>
      </c>
      <c r="H12" s="19"/>
      <c r="I12" s="21">
        <v>100</v>
      </c>
      <c r="J12" s="21"/>
      <c r="K12" s="19">
        <v>25</v>
      </c>
      <c r="L12" s="20"/>
      <c r="M12" s="19">
        <v>25</v>
      </c>
      <c r="N12" s="19"/>
      <c r="O12" s="19"/>
      <c r="P12" s="19"/>
      <c r="Q12" s="19"/>
      <c r="R12" s="19"/>
      <c r="S12" s="19"/>
      <c r="T12" s="20"/>
      <c r="U12" s="19">
        <f>+(K12/100)*MAX(I12,O12)-S12</f>
        <v>25</v>
      </c>
      <c r="V12" s="19"/>
      <c r="W12" s="22">
        <f t="shared" si="1"/>
        <v>50.5</v>
      </c>
      <c r="X12" s="20"/>
      <c r="Y12" s="22">
        <f t="shared" si="2"/>
        <v>67.32673267326733</v>
      </c>
      <c r="AA12" s="22">
        <f t="shared" si="3"/>
        <v>32.67326732673267</v>
      </c>
    </row>
    <row r="13" spans="1:27" ht="16.5">
      <c r="A13" s="12" t="s">
        <v>59</v>
      </c>
      <c r="C13" s="8" t="s">
        <v>4</v>
      </c>
      <c r="E13" s="19">
        <f>33*1.03</f>
        <v>33.99</v>
      </c>
      <c r="F13" s="20"/>
      <c r="G13" s="19">
        <f t="shared" si="0"/>
        <v>151.4921981517952</v>
      </c>
      <c r="H13" s="22"/>
      <c r="I13" s="21">
        <v>100</v>
      </c>
      <c r="J13" s="23"/>
      <c r="K13" s="22"/>
      <c r="L13" s="20"/>
      <c r="M13" s="19">
        <v>15</v>
      </c>
      <c r="N13" s="19"/>
      <c r="O13" s="19"/>
      <c r="P13" s="19"/>
      <c r="Q13" s="19"/>
      <c r="R13" s="19"/>
      <c r="S13" s="19"/>
      <c r="T13" s="20"/>
      <c r="U13" s="19">
        <f>+(M13/100)*MAX(I13,O13)-S13</f>
        <v>15</v>
      </c>
      <c r="V13" s="19"/>
      <c r="W13" s="22">
        <f t="shared" si="1"/>
        <v>43.89150000000001</v>
      </c>
      <c r="X13" s="20"/>
      <c r="Y13" s="22">
        <f t="shared" si="2"/>
        <v>77.44096237312465</v>
      </c>
      <c r="AA13" s="22">
        <f t="shared" si="3"/>
        <v>22.559037626875355</v>
      </c>
    </row>
    <row r="14" spans="1:27" ht="15">
      <c r="A14" s="12" t="s">
        <v>5</v>
      </c>
      <c r="C14" s="8" t="s">
        <v>6</v>
      </c>
      <c r="E14" s="32">
        <v>34.38</v>
      </c>
      <c r="F14" s="20"/>
      <c r="G14" s="19">
        <f t="shared" si="0"/>
        <v>152.39256324291378</v>
      </c>
      <c r="H14" s="22"/>
      <c r="I14" s="21">
        <v>100</v>
      </c>
      <c r="J14" s="23"/>
      <c r="K14" s="22"/>
      <c r="L14" s="20"/>
      <c r="M14" s="19">
        <f>29+11.16+6.25</f>
        <v>46.41</v>
      </c>
      <c r="N14" s="19"/>
      <c r="O14" s="19">
        <f>1.25*I14</f>
        <v>125</v>
      </c>
      <c r="P14" s="19"/>
      <c r="Q14" s="19">
        <f>13.33+5.13+0.56*5.13</f>
        <v>21.332800000000002</v>
      </c>
      <c r="R14" s="19"/>
      <c r="S14" s="19">
        <f>+O14*Q14/100</f>
        <v>26.666000000000004</v>
      </c>
      <c r="T14" s="20"/>
      <c r="U14" s="19">
        <f>+(M14/100)*MAX(I14,O14)-S14</f>
        <v>31.346499999999992</v>
      </c>
      <c r="V14" s="19"/>
      <c r="W14" s="22">
        <f t="shared" si="1"/>
        <v>54.94957330000001</v>
      </c>
      <c r="X14" s="20"/>
      <c r="Y14" s="22">
        <f t="shared" si="2"/>
        <v>62.56645490639327</v>
      </c>
      <c r="AA14" s="22">
        <f t="shared" si="3"/>
        <v>37.43354509360674</v>
      </c>
    </row>
    <row r="15" spans="1:28" ht="15">
      <c r="A15" s="12" t="s">
        <v>41</v>
      </c>
      <c r="C15" s="8" t="s">
        <v>2</v>
      </c>
      <c r="E15" s="19">
        <v>17</v>
      </c>
      <c r="F15" s="20"/>
      <c r="G15" s="19">
        <v>120.48192771084338</v>
      </c>
      <c r="H15" s="22"/>
      <c r="I15" s="21">
        <v>100</v>
      </c>
      <c r="J15" s="23"/>
      <c r="K15" s="22" t="s">
        <v>34</v>
      </c>
      <c r="L15" s="20"/>
      <c r="M15" s="19">
        <v>40</v>
      </c>
      <c r="N15" s="19"/>
      <c r="O15" s="19">
        <f>+I15/(1-E15/100)</f>
        <v>120.48192771084338</v>
      </c>
      <c r="P15" s="19"/>
      <c r="Q15" s="19">
        <v>17</v>
      </c>
      <c r="R15" s="19"/>
      <c r="S15" s="19">
        <f>+G15*E15/100</f>
        <v>20.481927710843376</v>
      </c>
      <c r="T15" s="20" t="s">
        <v>40</v>
      </c>
      <c r="U15" s="19">
        <f>+(M15/100)*MAX(I15,O15)-S15</f>
        <v>27.710843373493976</v>
      </c>
      <c r="V15" s="19"/>
      <c r="W15" s="22">
        <f>(G15-I15+U15)/G15*100</f>
        <v>40</v>
      </c>
      <c r="X15" s="20"/>
      <c r="Y15" s="22">
        <f>((G15-I15)/((G15-I15)+U15))*100</f>
        <v>42.50000000000001</v>
      </c>
      <c r="AA15" s="22">
        <f>(U15/((G15-I15)+U15))*100</f>
        <v>57.49999999999999</v>
      </c>
      <c r="AB15" s="8"/>
    </row>
    <row r="16" spans="1:27" ht="15">
      <c r="A16" s="12" t="s">
        <v>7</v>
      </c>
      <c r="C16" s="8" t="s">
        <v>4</v>
      </c>
      <c r="E16" s="19">
        <v>28</v>
      </c>
      <c r="F16" s="20"/>
      <c r="G16" s="19">
        <f t="shared" si="0"/>
        <v>138.88888888888889</v>
      </c>
      <c r="H16" s="22"/>
      <c r="I16" s="21">
        <v>100</v>
      </c>
      <c r="J16" s="23"/>
      <c r="K16" s="22">
        <v>15</v>
      </c>
      <c r="L16" s="20"/>
      <c r="M16" s="19">
        <v>15</v>
      </c>
      <c r="N16" s="19"/>
      <c r="O16" s="19"/>
      <c r="P16" s="19"/>
      <c r="Q16" s="19"/>
      <c r="R16" s="19"/>
      <c r="S16" s="19"/>
      <c r="T16" s="20"/>
      <c r="U16" s="19">
        <f>+(M16/100)*MAX(I16,O16)-S16</f>
        <v>15</v>
      </c>
      <c r="V16" s="19"/>
      <c r="W16" s="22">
        <f t="shared" si="1"/>
        <v>38.800000000000004</v>
      </c>
      <c r="X16" s="20"/>
      <c r="Y16" s="22">
        <f t="shared" si="2"/>
        <v>72.16494845360825</v>
      </c>
      <c r="AA16" s="22">
        <f t="shared" si="3"/>
        <v>27.835051546391753</v>
      </c>
    </row>
    <row r="17" spans="1:27" ht="15">
      <c r="A17" s="12" t="s">
        <v>8</v>
      </c>
      <c r="C17" s="8" t="s">
        <v>4</v>
      </c>
      <c r="E17" s="19">
        <v>30</v>
      </c>
      <c r="F17" s="20"/>
      <c r="G17" s="19">
        <f t="shared" si="0"/>
        <v>142.85714285714286</v>
      </c>
      <c r="H17" s="22"/>
      <c r="I17" s="21">
        <v>100</v>
      </c>
      <c r="J17" s="23"/>
      <c r="K17" s="22"/>
      <c r="L17" s="20"/>
      <c r="M17" s="19">
        <v>43</v>
      </c>
      <c r="N17" s="19"/>
      <c r="O17" s="19"/>
      <c r="P17" s="19"/>
      <c r="Q17" s="19"/>
      <c r="R17" s="19"/>
      <c r="S17" s="19"/>
      <c r="T17" s="20"/>
      <c r="U17" s="19">
        <f>+(M17/100)*MAX(I17,O17)-S17</f>
        <v>43</v>
      </c>
      <c r="V17" s="19"/>
      <c r="W17" s="22">
        <f t="shared" si="1"/>
        <v>60.099999999999994</v>
      </c>
      <c r="X17" s="20"/>
      <c r="Y17" s="22">
        <f t="shared" si="2"/>
        <v>49.91680532445923</v>
      </c>
      <c r="AA17" s="22">
        <f t="shared" si="3"/>
        <v>50.08319467554077</v>
      </c>
    </row>
    <row r="18" spans="1:27" ht="15">
      <c r="A18" s="12" t="s">
        <v>44</v>
      </c>
      <c r="C18" s="8" t="s">
        <v>30</v>
      </c>
      <c r="E18" s="8">
        <v>26</v>
      </c>
      <c r="G18" s="19">
        <v>135.13513513513513</v>
      </c>
      <c r="H18" s="24"/>
      <c r="I18" s="21">
        <v>100</v>
      </c>
      <c r="J18" s="23"/>
      <c r="K18" s="24" t="s">
        <v>34</v>
      </c>
      <c r="M18" s="8">
        <v>0</v>
      </c>
      <c r="N18" s="8"/>
      <c r="O18" s="8"/>
      <c r="P18" s="8"/>
      <c r="Q18" s="8"/>
      <c r="R18" s="8"/>
      <c r="S18" s="8"/>
      <c r="U18" s="19">
        <v>0</v>
      </c>
      <c r="V18" s="19"/>
      <c r="W18" s="22">
        <v>25.999999999999996</v>
      </c>
      <c r="X18" s="20"/>
      <c r="Y18" s="22">
        <v>100</v>
      </c>
      <c r="Z18" s="20"/>
      <c r="AA18" s="22">
        <v>0</v>
      </c>
    </row>
    <row r="19" spans="1:27" ht="16.5">
      <c r="A19" s="12" t="s">
        <v>60</v>
      </c>
      <c r="C19" s="8" t="s">
        <v>2</v>
      </c>
      <c r="E19" s="19">
        <v>29</v>
      </c>
      <c r="F19" s="20"/>
      <c r="G19" s="19">
        <f t="shared" si="0"/>
        <v>140.84507042253523</v>
      </c>
      <c r="H19" s="22"/>
      <c r="I19" s="21">
        <f>G19-(E19*G19/100)</f>
        <v>100.00000000000001</v>
      </c>
      <c r="J19" s="23"/>
      <c r="K19" s="22"/>
      <c r="L19" s="20"/>
      <c r="M19" s="19">
        <v>29</v>
      </c>
      <c r="N19" s="19"/>
      <c r="O19" s="19">
        <f>100*(1+0.408)</f>
        <v>140.79999999999998</v>
      </c>
      <c r="P19" s="19"/>
      <c r="Q19" s="19">
        <f>(O19-100)/O19*100</f>
        <v>28.97727272727272</v>
      </c>
      <c r="R19" s="19"/>
      <c r="S19" s="19">
        <f>I19*(Q19/(100-Q19))</f>
        <v>40.79999999999999</v>
      </c>
      <c r="T19" s="20"/>
      <c r="U19" s="19">
        <f>M19/100*MAX(I19,O19)-S19</f>
        <v>0.03200000000000358</v>
      </c>
      <c r="V19" s="19"/>
      <c r="W19" s="22">
        <f>((G19-I19+U19)/G19)*100</f>
        <v>29.022720000000003</v>
      </c>
      <c r="X19" s="20"/>
      <c r="Y19" s="22">
        <v>100</v>
      </c>
      <c r="AA19" s="22">
        <v>0</v>
      </c>
    </row>
    <row r="20" spans="1:27" ht="16.5">
      <c r="A20" s="12" t="s">
        <v>61</v>
      </c>
      <c r="C20" s="8" t="s">
        <v>2</v>
      </c>
      <c r="E20" s="19">
        <v>35.43</v>
      </c>
      <c r="F20" s="20"/>
      <c r="G20" s="19">
        <f t="shared" si="0"/>
        <v>154.87068297971194</v>
      </c>
      <c r="H20" s="22"/>
      <c r="I20" s="21">
        <f>G20-(E20*G20/100)</f>
        <v>100</v>
      </c>
      <c r="J20" s="23"/>
      <c r="K20" s="22"/>
      <c r="L20" s="20"/>
      <c r="M20" s="19">
        <f>48.09*(1-5.8%)</f>
        <v>45.30078</v>
      </c>
      <c r="N20" s="19"/>
      <c r="O20" s="19">
        <v>150</v>
      </c>
      <c r="P20" s="19"/>
      <c r="Q20" s="19">
        <f>(O20-100)/O20*100</f>
        <v>33.33333333333333</v>
      </c>
      <c r="R20" s="19"/>
      <c r="S20" s="19">
        <f>I20*(Q20/(100-Q20))</f>
        <v>49.999999999999986</v>
      </c>
      <c r="T20" s="20"/>
      <c r="U20" s="19">
        <f>M20/100*MAX(I20,O20)-S20+11</f>
        <v>28.95117000000002</v>
      </c>
      <c r="V20" s="19"/>
      <c r="W20" s="22">
        <f>((G20-I20+U20)/G20)*100</f>
        <v>54.12377046900001</v>
      </c>
      <c r="X20" s="20"/>
      <c r="Y20" s="22">
        <f>((G20-I20)/((G20-I20)+U20))*100</f>
        <v>65.46107134256827</v>
      </c>
      <c r="AA20" s="22">
        <f>(U20/((G20-I20)+U20))*100</f>
        <v>34.538928657431725</v>
      </c>
    </row>
    <row r="21" spans="1:27" ht="15">
      <c r="A21" s="12" t="s">
        <v>9</v>
      </c>
      <c r="C21" s="8" t="s">
        <v>25</v>
      </c>
      <c r="E21" s="19">
        <v>38.9</v>
      </c>
      <c r="F21" s="20"/>
      <c r="G21" s="19">
        <f>100/(1-E21/100)</f>
        <v>163.66612111292963</v>
      </c>
      <c r="H21" s="22"/>
      <c r="I21" s="21">
        <v>100</v>
      </c>
      <c r="J21" s="23"/>
      <c r="K21" s="22"/>
      <c r="L21" s="20"/>
      <c r="M21" s="19">
        <f>45*1.055</f>
        <v>47.474999999999994</v>
      </c>
      <c r="N21" s="19"/>
      <c r="O21" s="19"/>
      <c r="P21" s="19"/>
      <c r="Q21" s="19"/>
      <c r="R21" s="19"/>
      <c r="S21" s="19"/>
      <c r="T21" s="20"/>
      <c r="U21" s="22">
        <f>I21/2*M21/100</f>
        <v>23.737499999999997</v>
      </c>
      <c r="V21" s="19"/>
      <c r="W21" s="19">
        <f>(U21+(G21-I21))/G21*100</f>
        <v>53.403612499999994</v>
      </c>
      <c r="X21" s="20"/>
      <c r="Y21" s="22">
        <f aca="true" t="shared" si="4" ref="Y21:Y43">((G21-I21)/((G21-I21)+U21))*100</f>
        <v>72.84151423276843</v>
      </c>
      <c r="AA21" s="22">
        <f aca="true" t="shared" si="5" ref="AA21:AA43">(U21/((G21-I21)+U21))*100</f>
        <v>27.158485767231568</v>
      </c>
    </row>
    <row r="22" spans="1:27" ht="15">
      <c r="A22" s="12" t="s">
        <v>10</v>
      </c>
      <c r="C22" s="8" t="s">
        <v>30</v>
      </c>
      <c r="E22" s="19">
        <v>35</v>
      </c>
      <c r="F22" s="20"/>
      <c r="G22" s="19">
        <f aca="true" t="shared" si="6" ref="G22:G43">100/(1-E22/100)</f>
        <v>153.84615384615384</v>
      </c>
      <c r="H22" s="22"/>
      <c r="I22" s="21">
        <v>100</v>
      </c>
      <c r="J22" s="23"/>
      <c r="K22" s="22"/>
      <c r="L22" s="20"/>
      <c r="M22" s="19">
        <v>0</v>
      </c>
      <c r="N22" s="19"/>
      <c r="O22" s="19"/>
      <c r="P22" s="19"/>
      <c r="Q22" s="19"/>
      <c r="R22" s="19"/>
      <c r="S22" s="19"/>
      <c r="T22" s="20"/>
      <c r="U22" s="19">
        <f aca="true" t="shared" si="7" ref="U22:U29">+(M22/100)*MAX(I22,O22)-S22</f>
        <v>0</v>
      </c>
      <c r="V22" s="19"/>
      <c r="W22" s="19">
        <f>(U22+(G22-I22))/G22*100</f>
        <v>35</v>
      </c>
      <c r="X22" s="20"/>
      <c r="Y22" s="22">
        <f t="shared" si="4"/>
        <v>100</v>
      </c>
      <c r="AA22" s="22">
        <f t="shared" si="5"/>
        <v>0</v>
      </c>
    </row>
    <row r="23" spans="1:27" ht="16.5">
      <c r="A23" s="12" t="s">
        <v>62</v>
      </c>
      <c r="C23" s="8" t="s">
        <v>27</v>
      </c>
      <c r="E23" s="19">
        <v>16</v>
      </c>
      <c r="F23" s="20"/>
      <c r="G23" s="19">
        <f t="shared" si="6"/>
        <v>119.04761904761905</v>
      </c>
      <c r="H23" s="22"/>
      <c r="I23" s="21">
        <v>100</v>
      </c>
      <c r="J23" s="23"/>
      <c r="K23" s="22"/>
      <c r="L23" s="20"/>
      <c r="M23" s="19">
        <v>35</v>
      </c>
      <c r="N23" s="19"/>
      <c r="O23" s="19"/>
      <c r="P23" s="19"/>
      <c r="Q23" s="19"/>
      <c r="R23" s="19"/>
      <c r="S23" s="19"/>
      <c r="T23" s="20"/>
      <c r="U23" s="19">
        <f t="shared" si="7"/>
        <v>35</v>
      </c>
      <c r="V23" s="19"/>
      <c r="W23" s="22">
        <f>(G23-I23+U23)/G23*100</f>
        <v>45.4</v>
      </c>
      <c r="X23" s="20"/>
      <c r="Y23" s="22">
        <f t="shared" si="4"/>
        <v>35.24229074889868</v>
      </c>
      <c r="AA23" s="22">
        <f t="shared" si="5"/>
        <v>64.75770925110132</v>
      </c>
    </row>
    <row r="24" spans="1:27" ht="15">
      <c r="A24" s="12" t="s">
        <v>11</v>
      </c>
      <c r="C24" s="8" t="s">
        <v>4</v>
      </c>
      <c r="E24" s="19">
        <v>18</v>
      </c>
      <c r="F24" s="20"/>
      <c r="G24" s="19">
        <f t="shared" si="6"/>
        <v>121.95121951219511</v>
      </c>
      <c r="H24" s="19"/>
      <c r="I24" s="21">
        <v>100</v>
      </c>
      <c r="J24" s="21"/>
      <c r="K24" s="19"/>
      <c r="L24" s="20"/>
      <c r="M24" s="19">
        <v>10</v>
      </c>
      <c r="N24" s="19"/>
      <c r="O24" s="19"/>
      <c r="P24" s="19"/>
      <c r="Q24" s="19"/>
      <c r="R24" s="19"/>
      <c r="S24" s="19"/>
      <c r="T24" s="20"/>
      <c r="U24" s="19">
        <f t="shared" si="7"/>
        <v>10</v>
      </c>
      <c r="V24" s="19"/>
      <c r="W24" s="19">
        <f aca="true" t="shared" si="8" ref="W24:W30">(U24+(G24-I24))/G24*100</f>
        <v>26.19999999999999</v>
      </c>
      <c r="X24" s="20"/>
      <c r="Y24" s="22">
        <f t="shared" si="4"/>
        <v>68.70229007633587</v>
      </c>
      <c r="AA24" s="22">
        <f t="shared" si="5"/>
        <v>31.297709923664137</v>
      </c>
    </row>
    <row r="25" spans="1:27" ht="15">
      <c r="A25" s="12" t="s">
        <v>12</v>
      </c>
      <c r="C25" s="8" t="s">
        <v>4</v>
      </c>
      <c r="E25" s="19">
        <v>12.5</v>
      </c>
      <c r="F25" s="20"/>
      <c r="G25" s="19">
        <f t="shared" si="6"/>
        <v>114.28571428571429</v>
      </c>
      <c r="H25" s="19"/>
      <c r="I25" s="21">
        <v>100</v>
      </c>
      <c r="J25" s="21"/>
      <c r="K25" s="19"/>
      <c r="L25" s="20"/>
      <c r="M25" s="19">
        <v>42</v>
      </c>
      <c r="N25" s="19"/>
      <c r="O25" s="19"/>
      <c r="P25" s="19"/>
      <c r="Q25" s="19"/>
      <c r="R25" s="19"/>
      <c r="S25" s="19"/>
      <c r="T25" s="20"/>
      <c r="U25" s="19">
        <f t="shared" si="7"/>
        <v>42</v>
      </c>
      <c r="V25" s="19"/>
      <c r="W25" s="19">
        <f t="shared" si="8"/>
        <v>49.25000000000001</v>
      </c>
      <c r="X25" s="20"/>
      <c r="Y25" s="22">
        <f t="shared" si="4"/>
        <v>25.380710659898487</v>
      </c>
      <c r="AA25" s="22">
        <f t="shared" si="5"/>
        <v>74.61928934010152</v>
      </c>
    </row>
    <row r="26" spans="1:27" ht="15">
      <c r="A26" s="12" t="s">
        <v>43</v>
      </c>
      <c r="C26" s="8" t="s">
        <v>29</v>
      </c>
      <c r="E26" s="8">
        <v>35</v>
      </c>
      <c r="F26" s="20"/>
      <c r="G26" s="19">
        <v>153.84615384615384</v>
      </c>
      <c r="H26" s="19"/>
      <c r="I26" s="21">
        <v>100</v>
      </c>
      <c r="J26" s="21"/>
      <c r="K26" s="19"/>
      <c r="L26" s="20"/>
      <c r="M26" s="19">
        <v>25</v>
      </c>
      <c r="N26" s="19"/>
      <c r="O26" s="19"/>
      <c r="P26" s="19"/>
      <c r="Q26" s="19"/>
      <c r="R26" s="19"/>
      <c r="S26" s="19"/>
      <c r="T26" s="20"/>
      <c r="U26" s="19">
        <v>25</v>
      </c>
      <c r="V26" s="19"/>
      <c r="W26" s="19">
        <v>51.24999999999999</v>
      </c>
      <c r="X26" s="20"/>
      <c r="Y26" s="22">
        <v>68.29268292682926</v>
      </c>
      <c r="Z26" s="20"/>
      <c r="AA26" s="22">
        <v>31.70731707317073</v>
      </c>
    </row>
    <row r="27" spans="1:27" ht="15">
      <c r="A27" s="12" t="s">
        <v>13</v>
      </c>
      <c r="C27" s="8" t="s">
        <v>38</v>
      </c>
      <c r="E27" s="19">
        <v>33</v>
      </c>
      <c r="F27" s="20"/>
      <c r="G27" s="19">
        <f t="shared" si="6"/>
        <v>149.2537313432836</v>
      </c>
      <c r="H27" s="22"/>
      <c r="I27" s="21">
        <v>100</v>
      </c>
      <c r="J27" s="23"/>
      <c r="K27" s="22">
        <v>12.5</v>
      </c>
      <c r="L27" s="20"/>
      <c r="M27" s="19">
        <v>12.5</v>
      </c>
      <c r="N27" s="19"/>
      <c r="O27" s="19"/>
      <c r="P27" s="19"/>
      <c r="Q27" s="19"/>
      <c r="R27" s="19"/>
      <c r="S27" s="19"/>
      <c r="T27" s="20"/>
      <c r="U27" s="19">
        <f t="shared" si="7"/>
        <v>12.5</v>
      </c>
      <c r="V27" s="19"/>
      <c r="W27" s="19">
        <f t="shared" si="8"/>
        <v>41.375</v>
      </c>
      <c r="X27" s="20"/>
      <c r="Y27" s="22">
        <f t="shared" si="4"/>
        <v>79.7583081570997</v>
      </c>
      <c r="AA27" s="22">
        <f t="shared" si="5"/>
        <v>20.241691842900302</v>
      </c>
    </row>
    <row r="28" spans="1:27" s="27" customFormat="1" ht="16.5">
      <c r="A28" s="12" t="s">
        <v>79</v>
      </c>
      <c r="B28" s="2"/>
      <c r="C28" s="8" t="s">
        <v>29</v>
      </c>
      <c r="D28" s="2"/>
      <c r="E28" s="19">
        <v>39.54</v>
      </c>
      <c r="F28" s="2"/>
      <c r="G28" s="19">
        <f t="shared" si="6"/>
        <v>165.3986106516705</v>
      </c>
      <c r="H28" s="8"/>
      <c r="I28" s="21">
        <v>100</v>
      </c>
      <c r="J28" s="21"/>
      <c r="K28" s="19">
        <v>10</v>
      </c>
      <c r="M28" s="19">
        <v>10</v>
      </c>
      <c r="N28" s="19"/>
      <c r="O28" s="19"/>
      <c r="P28" s="8"/>
      <c r="Q28" s="19"/>
      <c r="R28" s="19"/>
      <c r="S28" s="19"/>
      <c r="U28" s="19">
        <f t="shared" si="7"/>
        <v>10</v>
      </c>
      <c r="V28" s="8"/>
      <c r="W28" s="19">
        <f t="shared" si="8"/>
        <v>45.58599999999999</v>
      </c>
      <c r="X28" s="30"/>
      <c r="Y28" s="22">
        <f t="shared" si="4"/>
        <v>86.7371561444303</v>
      </c>
      <c r="Z28" s="2"/>
      <c r="AA28" s="22">
        <f t="shared" si="5"/>
        <v>13.262843855569695</v>
      </c>
    </row>
    <row r="29" spans="1:29" s="27" customFormat="1" ht="15">
      <c r="A29" s="12" t="s">
        <v>15</v>
      </c>
      <c r="B29" s="2"/>
      <c r="C29" s="8" t="s">
        <v>32</v>
      </c>
      <c r="D29" s="2"/>
      <c r="E29" s="19">
        <v>29.7</v>
      </c>
      <c r="F29" s="2"/>
      <c r="G29" s="19">
        <f t="shared" si="6"/>
        <v>142.24751066856328</v>
      </c>
      <c r="H29" s="8"/>
      <c r="I29" s="21">
        <v>100</v>
      </c>
      <c r="J29" s="21"/>
      <c r="K29" s="19"/>
      <c r="L29" s="19"/>
      <c r="M29" s="19">
        <v>39.6</v>
      </c>
      <c r="N29" s="19"/>
      <c r="O29" s="19">
        <v>119</v>
      </c>
      <c r="P29" s="8"/>
      <c r="Q29" s="19">
        <f>(O29-100)/O29*100</f>
        <v>15.966386554621847</v>
      </c>
      <c r="R29" s="19"/>
      <c r="S29" s="19">
        <f>+O29*Q29/100</f>
        <v>18.999999999999996</v>
      </c>
      <c r="U29" s="19">
        <f t="shared" si="7"/>
        <v>28.124000000000006</v>
      </c>
      <c r="V29" s="8"/>
      <c r="W29" s="19">
        <f t="shared" si="8"/>
        <v>49.471171999999996</v>
      </c>
      <c r="X29" s="30"/>
      <c r="Y29" s="22">
        <f t="shared" si="4"/>
        <v>60.034963392417694</v>
      </c>
      <c r="Z29" s="2"/>
      <c r="AA29" s="22">
        <f t="shared" si="5"/>
        <v>39.965036607582306</v>
      </c>
      <c r="AB29" s="2"/>
      <c r="AC29" s="2"/>
    </row>
    <row r="30" spans="1:27" ht="15">
      <c r="A30" s="12" t="s">
        <v>16</v>
      </c>
      <c r="C30" s="8" t="s">
        <v>25</v>
      </c>
      <c r="E30" s="19">
        <v>30.4</v>
      </c>
      <c r="F30" s="20"/>
      <c r="G30" s="19">
        <f t="shared" si="6"/>
        <v>143.67816091954023</v>
      </c>
      <c r="H30" s="22"/>
      <c r="I30" s="21">
        <v>100</v>
      </c>
      <c r="J30" s="23"/>
      <c r="K30" s="22"/>
      <c r="L30" s="20"/>
      <c r="M30" s="19">
        <v>38.95</v>
      </c>
      <c r="N30" s="19"/>
      <c r="O30" s="19"/>
      <c r="P30" s="19"/>
      <c r="Q30" s="19"/>
      <c r="R30" s="19"/>
      <c r="S30" s="19"/>
      <c r="T30" s="20"/>
      <c r="U30" s="19">
        <f>I30/2*M30/100</f>
        <v>19.475</v>
      </c>
      <c r="V30" s="19"/>
      <c r="W30" s="19">
        <f t="shared" si="8"/>
        <v>43.954600000000006</v>
      </c>
      <c r="X30" s="20"/>
      <c r="Y30" s="22">
        <f t="shared" si="4"/>
        <v>69.16227198063456</v>
      </c>
      <c r="AA30" s="22">
        <f t="shared" si="5"/>
        <v>30.837728019365436</v>
      </c>
    </row>
    <row r="31" spans="1:27" ht="15">
      <c r="A31" s="12" t="s">
        <v>17</v>
      </c>
      <c r="C31" s="8" t="s">
        <v>2</v>
      </c>
      <c r="E31" s="19">
        <v>33</v>
      </c>
      <c r="F31" s="20"/>
      <c r="G31" s="19">
        <f t="shared" si="6"/>
        <v>149.2537313432836</v>
      </c>
      <c r="H31" s="19"/>
      <c r="I31" s="21">
        <v>100</v>
      </c>
      <c r="J31" s="21"/>
      <c r="K31" s="19"/>
      <c r="L31" s="20"/>
      <c r="M31" s="19">
        <v>33</v>
      </c>
      <c r="N31" s="19"/>
      <c r="O31" s="19">
        <f>100/(1-M31/100)</f>
        <v>149.2537313432836</v>
      </c>
      <c r="P31" s="19"/>
      <c r="Q31" s="19">
        <f>((O31-100)/O31)*100</f>
        <v>33</v>
      </c>
      <c r="R31" s="19"/>
      <c r="S31" s="19">
        <f>+I31*(Q31/(100-Q31))</f>
        <v>49.25373134328358</v>
      </c>
      <c r="T31" s="20"/>
      <c r="U31" s="19">
        <f>((Q31/100)*O31)-S31</f>
        <v>0</v>
      </c>
      <c r="V31" s="19"/>
      <c r="W31" s="22">
        <f aca="true" t="shared" si="9" ref="W31:W41">(G31-I31+U31)/G31*100</f>
        <v>33</v>
      </c>
      <c r="X31" s="20"/>
      <c r="Y31" s="22">
        <f t="shared" si="4"/>
        <v>100</v>
      </c>
      <c r="AA31" s="22">
        <f t="shared" si="5"/>
        <v>0</v>
      </c>
    </row>
    <row r="32" spans="1:27" ht="15">
      <c r="A32" s="12" t="s">
        <v>18</v>
      </c>
      <c r="C32" s="8" t="s">
        <v>4</v>
      </c>
      <c r="E32" s="19">
        <v>34.5</v>
      </c>
      <c r="F32" s="20"/>
      <c r="G32" s="19">
        <f t="shared" si="6"/>
        <v>152.67175572519082</v>
      </c>
      <c r="H32" s="19"/>
      <c r="I32" s="21">
        <v>100</v>
      </c>
      <c r="J32" s="21"/>
      <c r="K32" s="19"/>
      <c r="L32" s="20"/>
      <c r="M32" s="19">
        <v>25</v>
      </c>
      <c r="N32" s="19"/>
      <c r="O32" s="19"/>
      <c r="P32" s="19"/>
      <c r="Q32" s="19"/>
      <c r="R32" s="19"/>
      <c r="S32" s="19"/>
      <c r="T32" s="20"/>
      <c r="U32" s="19">
        <f>+(M32/100)*MAX(I32,O32)-S32</f>
        <v>25</v>
      </c>
      <c r="V32" s="19"/>
      <c r="W32" s="22">
        <f t="shared" si="9"/>
        <v>50.87499999999999</v>
      </c>
      <c r="X32" s="20"/>
      <c r="Y32" s="22">
        <f t="shared" si="4"/>
        <v>67.81326781326781</v>
      </c>
      <c r="AA32" s="22">
        <f t="shared" si="5"/>
        <v>32.18673218673219</v>
      </c>
    </row>
    <row r="33" spans="1:27" ht="16.5">
      <c r="A33" s="12" t="s">
        <v>71</v>
      </c>
      <c r="C33" s="8" t="s">
        <v>2</v>
      </c>
      <c r="E33" s="19">
        <v>33</v>
      </c>
      <c r="F33" s="20"/>
      <c r="G33" s="19">
        <f t="shared" si="6"/>
        <v>149.2537313432836</v>
      </c>
      <c r="H33" s="19"/>
      <c r="I33" s="21">
        <v>100</v>
      </c>
      <c r="J33" s="21"/>
      <c r="K33" s="19"/>
      <c r="L33" s="20"/>
      <c r="M33" s="19">
        <v>39</v>
      </c>
      <c r="N33" s="19"/>
      <c r="O33" s="19">
        <v>149.3</v>
      </c>
      <c r="P33" s="19"/>
      <c r="Q33" s="19">
        <f>(O33-100)/O33*100</f>
        <v>33.02076356329538</v>
      </c>
      <c r="R33" s="19"/>
      <c r="S33" s="19">
        <f>+I33*(Q33/(100-Q33))</f>
        <v>49.30000000000002</v>
      </c>
      <c r="T33" s="20"/>
      <c r="U33" s="19">
        <f>+(M33/100)*MAX(I33,O33)-S33</f>
        <v>8.926999999999985</v>
      </c>
      <c r="V33" s="19"/>
      <c r="W33" s="22">
        <f t="shared" si="9"/>
        <v>38.981089999999995</v>
      </c>
      <c r="X33" s="20"/>
      <c r="Y33" s="22">
        <f t="shared" si="4"/>
        <v>84.65643213157972</v>
      </c>
      <c r="AA33" s="22">
        <f t="shared" si="5"/>
        <v>15.34356786842028</v>
      </c>
    </row>
    <row r="34" spans="1:27" ht="15">
      <c r="A34" s="12" t="s">
        <v>19</v>
      </c>
      <c r="C34" s="8" t="s">
        <v>2</v>
      </c>
      <c r="E34" s="19">
        <v>28</v>
      </c>
      <c r="F34" s="20"/>
      <c r="G34" s="19">
        <f t="shared" si="6"/>
        <v>138.88888888888889</v>
      </c>
      <c r="H34" s="19"/>
      <c r="I34" s="21">
        <v>100</v>
      </c>
      <c r="J34" s="21"/>
      <c r="K34" s="19"/>
      <c r="L34" s="20"/>
      <c r="M34" s="19">
        <v>28</v>
      </c>
      <c r="N34" s="19"/>
      <c r="O34" s="19">
        <v>138.9</v>
      </c>
      <c r="P34" s="19"/>
      <c r="Q34" s="19">
        <f>(O34-100)/O34*100</f>
        <v>28.005759539236863</v>
      </c>
      <c r="R34" s="19"/>
      <c r="S34" s="19">
        <f>+I34*(Q34/(100-Q34))</f>
        <v>38.9</v>
      </c>
      <c r="T34" s="20"/>
      <c r="U34" s="19">
        <f>+(M34/100)*MAX(I34,O34)-S34</f>
        <v>-0.007999999999995566</v>
      </c>
      <c r="V34" s="19"/>
      <c r="W34" s="22">
        <f t="shared" si="9"/>
        <v>27.994240000000005</v>
      </c>
      <c r="X34" s="20"/>
      <c r="Y34" s="22">
        <f t="shared" si="4"/>
        <v>100.02057566127888</v>
      </c>
      <c r="AA34" s="22">
        <f t="shared" si="5"/>
        <v>-0.020575661278880254</v>
      </c>
    </row>
    <row r="35" spans="1:27" ht="15">
      <c r="A35" s="12" t="s">
        <v>36</v>
      </c>
      <c r="C35" s="8" t="s">
        <v>29</v>
      </c>
      <c r="E35" s="19">
        <v>19</v>
      </c>
      <c r="F35" s="20"/>
      <c r="G35" s="19">
        <f t="shared" si="6"/>
        <v>123.45679012345678</v>
      </c>
      <c r="H35" s="22"/>
      <c r="I35" s="21">
        <v>100</v>
      </c>
      <c r="J35" s="23"/>
      <c r="K35" s="19">
        <v>19</v>
      </c>
      <c r="L35" s="19">
        <v>15</v>
      </c>
      <c r="M35" s="19">
        <v>19</v>
      </c>
      <c r="N35" s="19"/>
      <c r="O35" s="19"/>
      <c r="P35" s="19"/>
      <c r="Q35" s="19"/>
      <c r="R35" s="19"/>
      <c r="S35" s="19"/>
      <c r="T35" s="20"/>
      <c r="U35" s="19">
        <f>+(M35/100)*MAX(I35,O35)-S35</f>
        <v>19</v>
      </c>
      <c r="V35" s="19"/>
      <c r="W35" s="22">
        <f t="shared" si="9"/>
        <v>34.39</v>
      </c>
      <c r="X35" s="20"/>
      <c r="Y35" s="22">
        <f t="shared" si="4"/>
        <v>55.24861878453038</v>
      </c>
      <c r="AA35" s="22">
        <f t="shared" si="5"/>
        <v>44.75138121546962</v>
      </c>
    </row>
    <row r="36" spans="1:27" ht="15">
      <c r="A36" s="12" t="s">
        <v>20</v>
      </c>
      <c r="C36" s="8" t="s">
        <v>25</v>
      </c>
      <c r="E36" s="19">
        <v>27.5</v>
      </c>
      <c r="F36" s="20"/>
      <c r="G36" s="19">
        <f t="shared" si="6"/>
        <v>137.93103448275863</v>
      </c>
      <c r="H36" s="19"/>
      <c r="I36" s="21">
        <v>100</v>
      </c>
      <c r="J36" s="21"/>
      <c r="K36" s="19"/>
      <c r="L36" s="20"/>
      <c r="M36" s="19">
        <v>40</v>
      </c>
      <c r="N36" s="19"/>
      <c r="O36" s="19"/>
      <c r="P36" s="19"/>
      <c r="Q36" s="19"/>
      <c r="R36" s="19"/>
      <c r="S36" s="19"/>
      <c r="T36" s="20"/>
      <c r="U36" s="19">
        <f>I36/2*M36/100</f>
        <v>20</v>
      </c>
      <c r="V36" s="19"/>
      <c r="W36" s="22">
        <f t="shared" si="9"/>
        <v>42.00000000000001</v>
      </c>
      <c r="X36" s="20"/>
      <c r="Y36" s="22">
        <f t="shared" si="4"/>
        <v>65.47619047619048</v>
      </c>
      <c r="AA36" s="22">
        <f t="shared" si="5"/>
        <v>34.52380952380952</v>
      </c>
    </row>
    <row r="37" spans="1:27" ht="15">
      <c r="A37" s="12" t="s">
        <v>21</v>
      </c>
      <c r="C37" s="8" t="s">
        <v>30</v>
      </c>
      <c r="E37" s="19">
        <v>19</v>
      </c>
      <c r="F37" s="20"/>
      <c r="G37" s="19">
        <f t="shared" si="6"/>
        <v>123.45679012345678</v>
      </c>
      <c r="H37" s="22"/>
      <c r="I37" s="21">
        <v>100</v>
      </c>
      <c r="J37" s="23"/>
      <c r="K37" s="22"/>
      <c r="L37" s="20"/>
      <c r="M37" s="19">
        <v>0</v>
      </c>
      <c r="N37" s="19"/>
      <c r="O37" s="19"/>
      <c r="P37" s="19"/>
      <c r="Q37" s="19"/>
      <c r="R37" s="19"/>
      <c r="S37" s="19"/>
      <c r="T37" s="20"/>
      <c r="U37" s="19">
        <f>+(M37/100)*MAX(I37,O37)-S37</f>
        <v>0</v>
      </c>
      <c r="V37" s="19"/>
      <c r="W37" s="22">
        <f t="shared" si="9"/>
        <v>18.999999999999996</v>
      </c>
      <c r="X37" s="20"/>
      <c r="Y37" s="22">
        <f t="shared" si="4"/>
        <v>100</v>
      </c>
      <c r="AA37" s="22">
        <f t="shared" si="5"/>
        <v>0</v>
      </c>
    </row>
    <row r="38" spans="1:27" ht="15">
      <c r="A38" s="12" t="s">
        <v>42</v>
      </c>
      <c r="C38" s="8" t="s">
        <v>25</v>
      </c>
      <c r="E38" s="8">
        <v>25</v>
      </c>
      <c r="G38" s="19">
        <v>133.33333333333334</v>
      </c>
      <c r="H38" s="24"/>
      <c r="I38" s="21">
        <v>100</v>
      </c>
      <c r="J38" s="23"/>
      <c r="K38" s="24"/>
      <c r="M38" s="19">
        <v>50</v>
      </c>
      <c r="N38" s="19"/>
      <c r="O38" s="19"/>
      <c r="P38" s="19"/>
      <c r="Q38" s="19"/>
      <c r="R38" s="19"/>
      <c r="S38" s="19"/>
      <c r="T38" s="20"/>
      <c r="U38" s="19">
        <v>30</v>
      </c>
      <c r="V38" s="19"/>
      <c r="W38" s="22">
        <v>47.5</v>
      </c>
      <c r="X38" s="20"/>
      <c r="Y38" s="22">
        <v>52.63157894736843</v>
      </c>
      <c r="Z38" s="20"/>
      <c r="AA38" s="22">
        <v>47.36842105263157</v>
      </c>
    </row>
    <row r="39" spans="1:27" ht="15">
      <c r="A39" s="12" t="s">
        <v>22</v>
      </c>
      <c r="C39" s="8" t="s">
        <v>6</v>
      </c>
      <c r="E39" s="19">
        <v>35</v>
      </c>
      <c r="F39" s="20"/>
      <c r="G39" s="19">
        <f t="shared" si="6"/>
        <v>153.84615384615384</v>
      </c>
      <c r="H39" s="19"/>
      <c r="I39" s="21">
        <v>100</v>
      </c>
      <c r="J39" s="21"/>
      <c r="K39" s="19"/>
      <c r="L39" s="20"/>
      <c r="M39" s="19">
        <v>45</v>
      </c>
      <c r="N39" s="19"/>
      <c r="O39" s="19">
        <v>140</v>
      </c>
      <c r="P39" s="19"/>
      <c r="Q39" s="19">
        <f>(O39-100)/O39*100</f>
        <v>28.57142857142857</v>
      </c>
      <c r="R39" s="19"/>
      <c r="S39" s="19">
        <f>+I39*(Q39/(100-Q39))</f>
        <v>40</v>
      </c>
      <c r="T39" s="20"/>
      <c r="U39" s="19">
        <f>+(M39/100)*MAX(I39,O39)-S39</f>
        <v>23</v>
      </c>
      <c r="V39" s="19"/>
      <c r="W39" s="22">
        <f t="shared" si="9"/>
        <v>49.95</v>
      </c>
      <c r="X39" s="20"/>
      <c r="Y39" s="22">
        <f t="shared" si="4"/>
        <v>70.07007007007007</v>
      </c>
      <c r="AA39" s="22">
        <f t="shared" si="5"/>
        <v>29.929929929929934</v>
      </c>
    </row>
    <row r="40" spans="1:27" ht="15">
      <c r="A40" s="12" t="s">
        <v>23</v>
      </c>
      <c r="C40" s="8" t="s">
        <v>4</v>
      </c>
      <c r="E40" s="19">
        <v>28</v>
      </c>
      <c r="F40" s="20"/>
      <c r="G40" s="19">
        <f t="shared" si="6"/>
        <v>138.88888888888889</v>
      </c>
      <c r="H40" s="19"/>
      <c r="I40" s="21">
        <v>100</v>
      </c>
      <c r="J40" s="21"/>
      <c r="K40" s="19"/>
      <c r="L40" s="20"/>
      <c r="M40" s="19">
        <v>30</v>
      </c>
      <c r="N40" s="19"/>
      <c r="O40" s="19"/>
      <c r="P40" s="19"/>
      <c r="Q40" s="19"/>
      <c r="R40" s="19"/>
      <c r="S40" s="19"/>
      <c r="T40" s="20"/>
      <c r="U40" s="19">
        <f>+(M40/100)*MAX(I40,O40)-S40</f>
        <v>30</v>
      </c>
      <c r="V40" s="19"/>
      <c r="W40" s="22">
        <f t="shared" si="9"/>
        <v>49.6</v>
      </c>
      <c r="X40" s="20"/>
      <c r="Y40" s="22">
        <f t="shared" si="4"/>
        <v>56.4516129032258</v>
      </c>
      <c r="AA40" s="22">
        <f t="shared" si="5"/>
        <v>43.54838709677419</v>
      </c>
    </row>
    <row r="41" spans="1:27" ht="16.5">
      <c r="A41" s="12" t="s">
        <v>72</v>
      </c>
      <c r="C41" s="8" t="s">
        <v>4</v>
      </c>
      <c r="E41" s="19">
        <v>24.099823911591475</v>
      </c>
      <c r="F41" s="20"/>
      <c r="G41" s="19">
        <f t="shared" si="6"/>
        <v>131.752</v>
      </c>
      <c r="H41" s="19"/>
      <c r="I41" s="21">
        <v>100</v>
      </c>
      <c r="J41" s="21"/>
      <c r="K41" s="19"/>
      <c r="L41" s="20"/>
      <c r="M41" s="19">
        <f>13*(1+1.22)+11.5</f>
        <v>40.36</v>
      </c>
      <c r="N41" s="19"/>
      <c r="O41" s="19"/>
      <c r="P41" s="19"/>
      <c r="Q41" s="19"/>
      <c r="R41" s="19"/>
      <c r="S41" s="19"/>
      <c r="T41" s="20"/>
      <c r="U41" s="19">
        <f>+(M41/100)*MAX(I41,O41)-S41</f>
        <v>40.36</v>
      </c>
      <c r="V41" s="19"/>
      <c r="W41" s="22">
        <f t="shared" si="9"/>
        <v>54.73313498087315</v>
      </c>
      <c r="X41" s="20"/>
      <c r="Y41" s="22">
        <f t="shared" si="4"/>
        <v>44.03150654537387</v>
      </c>
      <c r="AA41" s="22">
        <f t="shared" si="5"/>
        <v>55.968493454626135</v>
      </c>
    </row>
    <row r="42" spans="1:28" ht="15">
      <c r="A42" s="12" t="s">
        <v>24</v>
      </c>
      <c r="C42" s="8" t="s">
        <v>25</v>
      </c>
      <c r="E42" s="19">
        <v>33</v>
      </c>
      <c r="F42" s="20"/>
      <c r="G42" s="19">
        <f t="shared" si="6"/>
        <v>149.2537313432836</v>
      </c>
      <c r="H42" s="19"/>
      <c r="I42" s="21">
        <v>100</v>
      </c>
      <c r="J42" s="21"/>
      <c r="K42" s="19"/>
      <c r="L42" s="20"/>
      <c r="M42" s="19">
        <v>45</v>
      </c>
      <c r="N42" s="19"/>
      <c r="O42" s="19"/>
      <c r="P42" s="19"/>
      <c r="Q42" s="19"/>
      <c r="R42" s="19"/>
      <c r="S42" s="19">
        <v>0</v>
      </c>
      <c r="T42" s="20"/>
      <c r="U42" s="19">
        <f>(I42/2*M42/100)-(I42*10/100)+(I42*10/100)</f>
        <v>22.5</v>
      </c>
      <c r="V42" s="19"/>
      <c r="W42" s="31">
        <f>(U42+(G42-100))/G42*100</f>
        <v>48.075</v>
      </c>
      <c r="X42" s="20"/>
      <c r="Y42" s="22">
        <f t="shared" si="4"/>
        <v>68.6427457098284</v>
      </c>
      <c r="Z42" s="22" t="e">
        <f>(H42-J42)/(H42-J42+L42+V42)*100</f>
        <v>#DIV/0!</v>
      </c>
      <c r="AA42" s="22">
        <f t="shared" si="5"/>
        <v>31.357254290171603</v>
      </c>
      <c r="AB42" s="20"/>
    </row>
    <row r="43" spans="1:28" ht="16.5">
      <c r="A43" s="12" t="s">
        <v>66</v>
      </c>
      <c r="C43" s="8" t="s">
        <v>6</v>
      </c>
      <c r="D43" s="8"/>
      <c r="E43" s="19">
        <v>30</v>
      </c>
      <c r="F43" s="20"/>
      <c r="G43" s="19">
        <f t="shared" si="6"/>
        <v>142.85714285714286</v>
      </c>
      <c r="H43" s="19"/>
      <c r="I43" s="21">
        <v>100</v>
      </c>
      <c r="J43" s="21"/>
      <c r="K43" s="19"/>
      <c r="L43" s="20"/>
      <c r="M43" s="19">
        <v>32.5</v>
      </c>
      <c r="N43" s="19"/>
      <c r="O43" s="19">
        <v>111.11</v>
      </c>
      <c r="P43" s="19"/>
      <c r="Q43" s="19">
        <f>(O43-100)/O43*100</f>
        <v>9.99909999099991</v>
      </c>
      <c r="R43" s="19"/>
      <c r="S43" s="19">
        <f>+I43*(Q43/(100-Q43))</f>
        <v>11.110000000000001</v>
      </c>
      <c r="T43" s="20"/>
      <c r="U43" s="19">
        <f>+(M43/100)*MAX(I43,O43)-S43</f>
        <v>25.000750000000004</v>
      </c>
      <c r="V43" s="19"/>
      <c r="W43" s="22">
        <f>(G43-I43+U43)/G43*100</f>
        <v>47.50052500000001</v>
      </c>
      <c r="X43" s="22"/>
      <c r="Y43" s="22">
        <f t="shared" si="4"/>
        <v>63.15719668361559</v>
      </c>
      <c r="Z43" s="20"/>
      <c r="AA43" s="22">
        <f t="shared" si="5"/>
        <v>36.84280331638439</v>
      </c>
      <c r="AB43" s="20"/>
    </row>
    <row r="44" spans="1:27" ht="16.5">
      <c r="A44" s="12" t="s">
        <v>67</v>
      </c>
      <c r="C44" s="8" t="s">
        <v>29</v>
      </c>
      <c r="E44" s="19">
        <v>39.3</v>
      </c>
      <c r="F44" s="20"/>
      <c r="G44" s="19">
        <f>100/(1-E44/100)</f>
        <v>164.74464579901155</v>
      </c>
      <c r="H44" s="19"/>
      <c r="I44" s="21">
        <v>100</v>
      </c>
      <c r="J44" s="21"/>
      <c r="K44" s="19"/>
      <c r="L44" s="20"/>
      <c r="M44" s="19">
        <v>21</v>
      </c>
      <c r="N44" s="19"/>
      <c r="O44" s="19"/>
      <c r="P44" s="19"/>
      <c r="Q44" s="19"/>
      <c r="R44" s="19"/>
      <c r="S44" s="19"/>
      <c r="T44" s="20"/>
      <c r="U44" s="19">
        <f>+(M44/100)*MAX(I44,O44)-S44</f>
        <v>21</v>
      </c>
      <c r="V44" s="19"/>
      <c r="W44" s="22">
        <f>(G44-I44+U44)/G44*100</f>
        <v>52.04700000000001</v>
      </c>
      <c r="X44" s="20"/>
      <c r="Y44" s="22">
        <f>((G44-I44)/((G44-I44)+U44))*100</f>
        <v>75.50867485157646</v>
      </c>
      <c r="AA44" s="22">
        <f>(U44/((G44-I44)+U44))*100</f>
        <v>24.491325148423535</v>
      </c>
    </row>
    <row r="45" spans="1:27" ht="5.25" customHeight="1" thickBot="1">
      <c r="A45" s="28"/>
      <c r="B45" s="28"/>
      <c r="C45" s="28"/>
      <c r="D45" s="28"/>
      <c r="E45" s="28"/>
      <c r="F45" s="28"/>
      <c r="G45" s="28"/>
      <c r="H45" s="28"/>
      <c r="I45" s="28"/>
      <c r="J45" s="28"/>
      <c r="K45" s="28"/>
      <c r="L45" s="28"/>
      <c r="M45" s="28"/>
      <c r="N45" s="28"/>
      <c r="O45" s="28"/>
      <c r="P45" s="28"/>
      <c r="Q45" s="28"/>
      <c r="R45" s="28"/>
      <c r="S45" s="28"/>
      <c r="T45" s="28"/>
      <c r="U45" s="29"/>
      <c r="V45" s="28"/>
      <c r="W45" s="28"/>
      <c r="X45" s="28"/>
      <c r="Y45" s="28"/>
      <c r="Z45" s="28"/>
      <c r="AA45" s="28"/>
    </row>
    <row r="46" ht="5.25" customHeight="1"/>
    <row r="47" ht="12.75" customHeight="1"/>
    <row r="48" ht="12.75" customHeight="1">
      <c r="A48" s="12"/>
    </row>
    <row r="49" spans="1:3" ht="12.75" customHeight="1">
      <c r="A49" s="53"/>
      <c r="B49" s="53"/>
      <c r="C49" s="53"/>
    </row>
    <row r="50" ht="12.75" customHeight="1"/>
    <row r="51" ht="12.75" customHeight="1"/>
    <row r="52" ht="12.75" customHeight="1"/>
    <row r="53" ht="12.75" customHeight="1"/>
    <row r="54" ht="12.75" customHeight="1"/>
    <row r="55" ht="12.75" customHeight="1"/>
    <row r="56" ht="12.75" customHeight="1"/>
  </sheetData>
  <sheetProtection/>
  <mergeCells count="14">
    <mergeCell ref="M5:M8"/>
    <mergeCell ref="O5:O8"/>
    <mergeCell ref="Q5:Q8"/>
    <mergeCell ref="AA5:AA8"/>
    <mergeCell ref="S5:S8"/>
    <mergeCell ref="U5:U8"/>
    <mergeCell ref="W5:W8"/>
    <mergeCell ref="Y5:Y8"/>
    <mergeCell ref="C5:C8"/>
    <mergeCell ref="E5:E8"/>
    <mergeCell ref="G5:G8"/>
    <mergeCell ref="I5:I8"/>
    <mergeCell ref="A49:C49"/>
    <mergeCell ref="K5:K8"/>
  </mergeCells>
  <printOptions/>
  <pageMargins left="0.25" right="0.25" top="1" bottom="1" header="0.3" footer="0.3"/>
  <pageSetup fitToHeight="1" fitToWidth="1" horizontalDpi="600" verticalDpi="600" orientation="portrait" paperSize="9" scale="55"/>
  <ignoredErrors>
    <ignoredError sqref="U12 W23 U36 U42 W42 G21" formula="1"/>
    <ignoredError sqref="Z42" evalError="1"/>
  </ignoredErrors>
  <drawing r:id="rId1"/>
</worksheet>
</file>

<file path=xl/worksheets/sheet14.xml><?xml version="1.0" encoding="utf-8"?>
<worksheet xmlns="http://schemas.openxmlformats.org/spreadsheetml/2006/main" xmlns:r="http://schemas.openxmlformats.org/officeDocument/2006/relationships">
  <sheetPr>
    <pageSetUpPr fitToPage="1"/>
  </sheetPr>
  <dimension ref="A1:AC49"/>
  <sheetViews>
    <sheetView showGridLines="0" zoomScalePageLayoutView="0" workbookViewId="0" topLeftCell="A22">
      <selection activeCell="A1" sqref="A1:IV65536"/>
    </sheetView>
  </sheetViews>
  <sheetFormatPr defaultColWidth="9.140625" defaultRowHeight="12.75"/>
  <cols>
    <col min="1" max="1" width="16.42187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7.140625" style="2" customWidth="1"/>
    <col min="10" max="10" width="0.85546875" style="2" customWidth="1"/>
    <col min="11" max="11" width="7.710937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421875" style="2" customWidth="1"/>
    <col min="18" max="18" width="0.85546875" style="2" customWidth="1"/>
    <col min="19" max="19" width="12.421875" style="2" customWidth="1"/>
    <col min="20" max="20" width="0.85546875" style="2" customWidth="1"/>
    <col min="21" max="21" width="8.7109375" style="4" customWidth="1"/>
    <col min="22" max="22" width="0.85546875" style="2" customWidth="1"/>
    <col min="23" max="23" width="7.421875" style="2" customWidth="1"/>
    <col min="24" max="24" width="0.9921875" style="2" customWidth="1"/>
    <col min="25" max="25" width="7.7109375" style="2" customWidth="1"/>
    <col min="26" max="26" width="1.28515625" style="2" customWidth="1"/>
    <col min="27" max="27" width="7.8515625" style="2" customWidth="1"/>
    <col min="28" max="16384" width="9.140625" style="2" customWidth="1"/>
  </cols>
  <sheetData>
    <row r="1" spans="1:3" ht="15" customHeight="1">
      <c r="A1" s="1">
        <v>41680</v>
      </c>
      <c r="C1" s="3"/>
    </row>
    <row r="2" spans="1:27" ht="15" customHeight="1">
      <c r="A2" s="5" t="s">
        <v>77</v>
      </c>
      <c r="B2" s="6"/>
      <c r="C2" s="6"/>
      <c r="D2" s="6"/>
      <c r="E2" s="6"/>
      <c r="F2" s="6"/>
      <c r="G2" s="6"/>
      <c r="H2" s="6"/>
      <c r="I2" s="6"/>
      <c r="J2" s="6"/>
      <c r="K2" s="6"/>
      <c r="L2" s="6"/>
      <c r="M2" s="6"/>
      <c r="N2" s="6"/>
      <c r="O2" s="6"/>
      <c r="P2" s="6"/>
      <c r="Q2" s="6"/>
      <c r="R2" s="6"/>
      <c r="S2" s="6"/>
      <c r="T2" s="6"/>
      <c r="U2" s="6"/>
      <c r="V2" s="6"/>
      <c r="W2" s="6"/>
      <c r="X2" s="6"/>
      <c r="Y2" s="6"/>
      <c r="Z2" s="6"/>
      <c r="AA2" s="6"/>
    </row>
    <row r="3" spans="1:27" s="8" customFormat="1" ht="15" customHeight="1" thickBot="1">
      <c r="A3" s="7"/>
      <c r="B3" s="7"/>
      <c r="C3" s="7"/>
      <c r="D3" s="7"/>
      <c r="E3" s="7"/>
      <c r="F3" s="7"/>
      <c r="G3" s="7"/>
      <c r="H3" s="7"/>
      <c r="I3" s="7"/>
      <c r="J3" s="7"/>
      <c r="K3" s="7"/>
      <c r="L3" s="7"/>
      <c r="M3" s="7"/>
      <c r="N3" s="7"/>
      <c r="O3" s="7"/>
      <c r="P3" s="7"/>
      <c r="Q3" s="7"/>
      <c r="R3" s="7"/>
      <c r="S3" s="7"/>
      <c r="T3" s="7"/>
      <c r="U3" s="7"/>
      <c r="V3" s="7"/>
      <c r="W3" s="7"/>
      <c r="X3" s="7"/>
      <c r="Y3" s="7"/>
      <c r="Z3" s="7"/>
      <c r="AA3" s="7"/>
    </row>
    <row r="4" ht="15" customHeight="1"/>
    <row r="5" spans="1:27" s="12" customFormat="1" ht="15" customHeight="1">
      <c r="A5" s="9"/>
      <c r="B5" s="9"/>
      <c r="C5" s="51" t="s">
        <v>0</v>
      </c>
      <c r="D5" s="10"/>
      <c r="E5" s="51" t="s">
        <v>46</v>
      </c>
      <c r="F5" s="11"/>
      <c r="G5" s="51" t="s">
        <v>47</v>
      </c>
      <c r="H5" s="11"/>
      <c r="I5" s="51" t="s">
        <v>48</v>
      </c>
      <c r="J5" s="10"/>
      <c r="K5" s="51" t="s">
        <v>78</v>
      </c>
      <c r="L5" s="11"/>
      <c r="M5" s="51" t="s">
        <v>50</v>
      </c>
      <c r="N5" s="10"/>
      <c r="O5" s="51" t="s">
        <v>51</v>
      </c>
      <c r="P5" s="11"/>
      <c r="Q5" s="51" t="s">
        <v>52</v>
      </c>
      <c r="R5" s="11"/>
      <c r="S5" s="51" t="s">
        <v>53</v>
      </c>
      <c r="T5" s="11"/>
      <c r="U5" s="51" t="s">
        <v>54</v>
      </c>
      <c r="V5" s="10"/>
      <c r="W5" s="51" t="s">
        <v>55</v>
      </c>
      <c r="Y5" s="51" t="s">
        <v>56</v>
      </c>
      <c r="AA5" s="51" t="s">
        <v>57</v>
      </c>
    </row>
    <row r="6" spans="2:27" s="12" customFormat="1" ht="15" customHeight="1">
      <c r="B6" s="9"/>
      <c r="C6" s="52"/>
      <c r="D6" s="10"/>
      <c r="E6" s="52"/>
      <c r="F6" s="11"/>
      <c r="G6" s="52"/>
      <c r="H6" s="11"/>
      <c r="I6" s="52"/>
      <c r="J6" s="10"/>
      <c r="K6" s="52"/>
      <c r="L6" s="11"/>
      <c r="M6" s="52"/>
      <c r="N6" s="13"/>
      <c r="O6" s="52"/>
      <c r="P6" s="11"/>
      <c r="Q6" s="52"/>
      <c r="R6" s="11"/>
      <c r="S6" s="52"/>
      <c r="T6" s="11"/>
      <c r="U6" s="52"/>
      <c r="V6" s="10"/>
      <c r="W6" s="52"/>
      <c r="Y6" s="52"/>
      <c r="AA6" s="52"/>
    </row>
    <row r="7" spans="1:27" s="12" customFormat="1" ht="15" customHeight="1">
      <c r="A7" s="14"/>
      <c r="B7" s="9"/>
      <c r="C7" s="52"/>
      <c r="D7" s="10"/>
      <c r="E7" s="52"/>
      <c r="F7" s="11"/>
      <c r="G7" s="52"/>
      <c r="H7" s="11"/>
      <c r="I7" s="52"/>
      <c r="J7" s="10"/>
      <c r="K7" s="52"/>
      <c r="L7" s="11"/>
      <c r="M7" s="52"/>
      <c r="N7" s="13"/>
      <c r="O7" s="52"/>
      <c r="P7" s="11"/>
      <c r="Q7" s="52"/>
      <c r="R7" s="11"/>
      <c r="S7" s="52"/>
      <c r="T7" s="11"/>
      <c r="U7" s="52"/>
      <c r="V7" s="10"/>
      <c r="W7" s="52"/>
      <c r="Y7" s="52"/>
      <c r="AA7" s="52"/>
    </row>
    <row r="8" spans="1:27" s="12" customFormat="1" ht="15" customHeight="1">
      <c r="A8" s="14" t="s">
        <v>1</v>
      </c>
      <c r="B8" s="9"/>
      <c r="C8" s="52"/>
      <c r="D8" s="10"/>
      <c r="E8" s="52"/>
      <c r="F8" s="11"/>
      <c r="G8" s="52"/>
      <c r="H8" s="11"/>
      <c r="I8" s="52"/>
      <c r="J8" s="10"/>
      <c r="K8" s="52"/>
      <c r="L8" s="11"/>
      <c r="M8" s="52"/>
      <c r="N8" s="13"/>
      <c r="O8" s="52"/>
      <c r="P8" s="11"/>
      <c r="Q8" s="52"/>
      <c r="R8" s="11"/>
      <c r="S8" s="52"/>
      <c r="T8" s="11"/>
      <c r="U8" s="52"/>
      <c r="V8" s="10"/>
      <c r="W8" s="52"/>
      <c r="Y8" s="52"/>
      <c r="AA8" s="52"/>
    </row>
    <row r="9" spans="1:27" ht="15" customHeight="1">
      <c r="A9" s="15"/>
      <c r="B9" s="15"/>
      <c r="C9" s="16"/>
      <c r="D9" s="17"/>
      <c r="E9" s="16"/>
      <c r="F9" s="18"/>
      <c r="G9" s="16"/>
      <c r="H9" s="18"/>
      <c r="I9" s="16"/>
      <c r="J9" s="17"/>
      <c r="K9" s="16"/>
      <c r="L9" s="18"/>
      <c r="M9" s="16"/>
      <c r="N9" s="16"/>
      <c r="O9" s="18"/>
      <c r="P9" s="18"/>
      <c r="Q9" s="18"/>
      <c r="R9" s="18"/>
      <c r="S9" s="18"/>
      <c r="T9" s="18"/>
      <c r="U9" s="15"/>
      <c r="V9" s="17"/>
      <c r="W9" s="16"/>
      <c r="X9" s="16"/>
      <c r="Y9" s="16"/>
      <c r="Z9" s="16"/>
      <c r="AA9" s="16"/>
    </row>
    <row r="10" ht="15" customHeight="1"/>
    <row r="11" spans="1:27" ht="16.5">
      <c r="A11" s="12" t="s">
        <v>58</v>
      </c>
      <c r="C11" s="8" t="s">
        <v>2</v>
      </c>
      <c r="D11" s="19"/>
      <c r="E11" s="19">
        <v>30</v>
      </c>
      <c r="F11" s="20"/>
      <c r="G11" s="19">
        <f aca="true" t="shared" si="0" ref="G11:G20">100/(1-E11/100)</f>
        <v>142.85714285714286</v>
      </c>
      <c r="H11" s="19"/>
      <c r="I11" s="21">
        <v>100</v>
      </c>
      <c r="J11" s="21"/>
      <c r="K11" s="19"/>
      <c r="L11" s="20"/>
      <c r="M11" s="19">
        <v>48.5</v>
      </c>
      <c r="N11" s="19"/>
      <c r="O11" s="19">
        <v>142.9</v>
      </c>
      <c r="P11" s="19"/>
      <c r="Q11" s="19">
        <f>(O11-100)/O11*100</f>
        <v>30.020993701889438</v>
      </c>
      <c r="R11" s="19"/>
      <c r="S11" s="19">
        <f>+I11*(Q11/(100-Q11))</f>
        <v>42.90000000000001</v>
      </c>
      <c r="T11" s="20"/>
      <c r="U11" s="19">
        <f>+(M11/100)*MAX(I11,O11)-S11</f>
        <v>26.406499999999987</v>
      </c>
      <c r="V11" s="19"/>
      <c r="W11" s="22">
        <f aca="true" t="shared" si="1" ref="W11:W17">(G11-I11+U11)/G11*100</f>
        <v>48.48455</v>
      </c>
      <c r="X11" s="22"/>
      <c r="Y11" s="22">
        <f>((G11-I11)/((G11-I11)+U11))*100</f>
        <v>61.875380920313795</v>
      </c>
      <c r="Z11" s="20"/>
      <c r="AA11" s="22">
        <f>(U11/((G11-I11)+U11))*100</f>
        <v>38.12461907968619</v>
      </c>
    </row>
    <row r="12" spans="1:27" ht="15">
      <c r="A12" s="12" t="s">
        <v>3</v>
      </c>
      <c r="C12" s="8" t="s">
        <v>4</v>
      </c>
      <c r="E12" s="19">
        <v>34</v>
      </c>
      <c r="F12" s="20"/>
      <c r="G12" s="19">
        <f t="shared" si="0"/>
        <v>151.51515151515153</v>
      </c>
      <c r="H12" s="19"/>
      <c r="I12" s="21">
        <v>100</v>
      </c>
      <c r="J12" s="21"/>
      <c r="K12" s="19">
        <v>25</v>
      </c>
      <c r="L12" s="20"/>
      <c r="M12" s="19">
        <v>25</v>
      </c>
      <c r="N12" s="19"/>
      <c r="O12" s="19"/>
      <c r="P12" s="19"/>
      <c r="Q12" s="19"/>
      <c r="R12" s="19"/>
      <c r="S12" s="19"/>
      <c r="T12" s="20"/>
      <c r="U12" s="19">
        <f>+(K12/100)*MAX(I12,O12)-S12</f>
        <v>25</v>
      </c>
      <c r="V12" s="19"/>
      <c r="W12" s="22">
        <f t="shared" si="1"/>
        <v>50.5</v>
      </c>
      <c r="X12" s="20"/>
      <c r="Y12" s="22">
        <f>((G12-I12)/((G12-I12)+U12))*100</f>
        <v>67.32673267326733</v>
      </c>
      <c r="AA12" s="22">
        <f>(U12/((G12-I12)+U12))*100</f>
        <v>32.67326732673267</v>
      </c>
    </row>
    <row r="13" spans="1:27" ht="16.5">
      <c r="A13" s="12" t="s">
        <v>59</v>
      </c>
      <c r="C13" s="8" t="s">
        <v>4</v>
      </c>
      <c r="E13" s="19">
        <f>33*1.03</f>
        <v>33.99</v>
      </c>
      <c r="F13" s="20"/>
      <c r="G13" s="19">
        <f t="shared" si="0"/>
        <v>151.4921981517952</v>
      </c>
      <c r="H13" s="22"/>
      <c r="I13" s="21">
        <v>100</v>
      </c>
      <c r="J13" s="23"/>
      <c r="K13" s="22"/>
      <c r="L13" s="20"/>
      <c r="M13" s="19">
        <v>15</v>
      </c>
      <c r="N13" s="19"/>
      <c r="O13" s="19"/>
      <c r="P13" s="19"/>
      <c r="Q13" s="19"/>
      <c r="R13" s="19"/>
      <c r="S13" s="19"/>
      <c r="T13" s="20"/>
      <c r="U13" s="19">
        <f>+(M13/100)*MAX(I13,O13)-S13</f>
        <v>15</v>
      </c>
      <c r="V13" s="19"/>
      <c r="W13" s="22">
        <f t="shared" si="1"/>
        <v>43.89150000000001</v>
      </c>
      <c r="X13" s="20"/>
      <c r="Y13" s="22">
        <f aca="true" t="shared" si="2" ref="Y13:Y44">((G13-I13)/((G13-I13)+U13))*100</f>
        <v>77.44096237312465</v>
      </c>
      <c r="AA13" s="22">
        <f aca="true" t="shared" si="3" ref="AA13:AA43">(U13/((G13-I13)+U13))*100</f>
        <v>22.559037626875355</v>
      </c>
    </row>
    <row r="14" spans="1:27" ht="15">
      <c r="A14" s="12" t="s">
        <v>5</v>
      </c>
      <c r="C14" s="8" t="s">
        <v>6</v>
      </c>
      <c r="E14" s="19">
        <v>35.87</v>
      </c>
      <c r="F14" s="20"/>
      <c r="G14" s="19">
        <f t="shared" si="0"/>
        <v>155.93326056447842</v>
      </c>
      <c r="H14" s="22"/>
      <c r="I14" s="21">
        <v>100</v>
      </c>
      <c r="J14" s="23"/>
      <c r="K14" s="22"/>
      <c r="L14" s="20"/>
      <c r="M14" s="19">
        <f>29+11.16+6.25</f>
        <v>46.41</v>
      </c>
      <c r="N14" s="19"/>
      <c r="O14" s="19">
        <f>1.25*I14</f>
        <v>125</v>
      </c>
      <c r="P14" s="19"/>
      <c r="Q14" s="19">
        <f>13.33+5.13+0.56*5.13</f>
        <v>21.332800000000002</v>
      </c>
      <c r="R14" s="19"/>
      <c r="S14" s="19">
        <f>+O14*Q14/100</f>
        <v>26.666000000000004</v>
      </c>
      <c r="T14" s="20"/>
      <c r="U14" s="19">
        <f>+(M14/100)*MAX(I14,O14)-S14</f>
        <v>31.346499999999992</v>
      </c>
      <c r="V14" s="19"/>
      <c r="W14" s="22">
        <f t="shared" si="1"/>
        <v>55.97251045</v>
      </c>
      <c r="X14" s="20"/>
      <c r="Y14" s="22">
        <f t="shared" si="2"/>
        <v>64.08502979697957</v>
      </c>
      <c r="AA14" s="22">
        <f t="shared" si="3"/>
        <v>35.914970203020424</v>
      </c>
    </row>
    <row r="15" spans="1:28" ht="15">
      <c r="A15" s="12" t="s">
        <v>41</v>
      </c>
      <c r="C15" s="8" t="s">
        <v>2</v>
      </c>
      <c r="E15" s="19">
        <v>16.5</v>
      </c>
      <c r="F15" s="20"/>
      <c r="G15" s="19">
        <v>119.76047904191617</v>
      </c>
      <c r="H15" s="22"/>
      <c r="I15" s="21">
        <v>100</v>
      </c>
      <c r="J15" s="23"/>
      <c r="K15" s="22" t="s">
        <v>34</v>
      </c>
      <c r="L15" s="20"/>
      <c r="M15" s="19">
        <v>40</v>
      </c>
      <c r="N15" s="19"/>
      <c r="O15" s="19">
        <f>+I15/(1-E15/100)</f>
        <v>119.76047904191617</v>
      </c>
      <c r="P15" s="19"/>
      <c r="Q15" s="19">
        <v>16.5</v>
      </c>
      <c r="R15" s="19"/>
      <c r="S15" s="19">
        <f>+G15*E15/100</f>
        <v>19.76047904191617</v>
      </c>
      <c r="T15" s="20" t="s">
        <v>40</v>
      </c>
      <c r="U15" s="19">
        <f>+(M15/100)*MAX(I15,O15)-S15</f>
        <v>28.143712574850298</v>
      </c>
      <c r="V15" s="19"/>
      <c r="W15" s="22">
        <f>(G15-I15+U15)/G15*100</f>
        <v>40</v>
      </c>
      <c r="X15" s="20"/>
      <c r="Y15" s="22">
        <f>((G15-I15)/((G15-I15)+U15))*100</f>
        <v>41.25</v>
      </c>
      <c r="AA15" s="22">
        <f>(U15/((G15-I15)+U15))*100</f>
        <v>58.74999999999999</v>
      </c>
      <c r="AB15" s="8"/>
    </row>
    <row r="16" spans="1:27" ht="15">
      <c r="A16" s="12" t="s">
        <v>7</v>
      </c>
      <c r="C16" s="8" t="s">
        <v>4</v>
      </c>
      <c r="E16" s="19">
        <v>31</v>
      </c>
      <c r="F16" s="20"/>
      <c r="G16" s="19">
        <f t="shared" si="0"/>
        <v>144.92753623188406</v>
      </c>
      <c r="H16" s="22"/>
      <c r="I16" s="21">
        <v>100</v>
      </c>
      <c r="J16" s="23"/>
      <c r="K16" s="22">
        <v>15</v>
      </c>
      <c r="L16" s="20"/>
      <c r="M16" s="19">
        <v>15</v>
      </c>
      <c r="N16" s="19"/>
      <c r="O16" s="19"/>
      <c r="P16" s="19"/>
      <c r="Q16" s="19"/>
      <c r="R16" s="19"/>
      <c r="S16" s="19"/>
      <c r="T16" s="20"/>
      <c r="U16" s="19">
        <f>+(M16/100)*MAX(I16,O16)-S16</f>
        <v>15</v>
      </c>
      <c r="V16" s="19"/>
      <c r="W16" s="22">
        <f t="shared" si="1"/>
        <v>41.35</v>
      </c>
      <c r="X16" s="20"/>
      <c r="Y16" s="22">
        <f t="shared" si="2"/>
        <v>74.96977025392987</v>
      </c>
      <c r="AA16" s="22">
        <f t="shared" si="3"/>
        <v>25.03022974607013</v>
      </c>
    </row>
    <row r="17" spans="1:27" ht="15">
      <c r="A17" s="12" t="s">
        <v>8</v>
      </c>
      <c r="C17" s="8" t="s">
        <v>4</v>
      </c>
      <c r="E17" s="19">
        <v>30</v>
      </c>
      <c r="F17" s="20"/>
      <c r="G17" s="19">
        <f t="shared" si="0"/>
        <v>142.85714285714286</v>
      </c>
      <c r="H17" s="22"/>
      <c r="I17" s="21">
        <v>100</v>
      </c>
      <c r="J17" s="23"/>
      <c r="K17" s="22"/>
      <c r="L17" s="20"/>
      <c r="M17" s="19">
        <v>43</v>
      </c>
      <c r="N17" s="19"/>
      <c r="O17" s="19"/>
      <c r="P17" s="19"/>
      <c r="Q17" s="19"/>
      <c r="R17" s="19"/>
      <c r="S17" s="19"/>
      <c r="T17" s="20"/>
      <c r="U17" s="19">
        <f>+(M17/100)*MAX(I17,O17)-S17</f>
        <v>43</v>
      </c>
      <c r="V17" s="19"/>
      <c r="W17" s="22">
        <f t="shared" si="1"/>
        <v>60.099999999999994</v>
      </c>
      <c r="X17" s="20"/>
      <c r="Y17" s="22">
        <f t="shared" si="2"/>
        <v>49.91680532445923</v>
      </c>
      <c r="AA17" s="22">
        <f t="shared" si="3"/>
        <v>50.08319467554077</v>
      </c>
    </row>
    <row r="18" spans="1:27" ht="15">
      <c r="A18" s="12" t="s">
        <v>44</v>
      </c>
      <c r="C18" s="8" t="s">
        <v>30</v>
      </c>
      <c r="E18" s="8">
        <v>26</v>
      </c>
      <c r="G18" s="19">
        <v>135.13513513513513</v>
      </c>
      <c r="H18" s="24"/>
      <c r="I18" s="21">
        <v>100</v>
      </c>
      <c r="J18" s="23"/>
      <c r="K18" s="24" t="s">
        <v>34</v>
      </c>
      <c r="M18" s="8">
        <v>0</v>
      </c>
      <c r="N18" s="8"/>
      <c r="O18" s="8"/>
      <c r="P18" s="8"/>
      <c r="Q18" s="8"/>
      <c r="R18" s="8"/>
      <c r="S18" s="8"/>
      <c r="U18" s="19">
        <v>0</v>
      </c>
      <c r="V18" s="19"/>
      <c r="W18" s="22">
        <v>25.999999999999996</v>
      </c>
      <c r="X18" s="20"/>
      <c r="Y18" s="22">
        <v>100</v>
      </c>
      <c r="Z18" s="20"/>
      <c r="AA18" s="22">
        <v>0</v>
      </c>
    </row>
    <row r="19" spans="1:27" ht="16.5">
      <c r="A19" s="12" t="s">
        <v>60</v>
      </c>
      <c r="C19" s="8" t="s">
        <v>2</v>
      </c>
      <c r="E19" s="19">
        <v>29</v>
      </c>
      <c r="F19" s="20"/>
      <c r="G19" s="19">
        <f t="shared" si="0"/>
        <v>140.84507042253523</v>
      </c>
      <c r="H19" s="22"/>
      <c r="I19" s="21">
        <f>G19-(E19*G19/100)</f>
        <v>100.00000000000001</v>
      </c>
      <c r="J19" s="23"/>
      <c r="K19" s="22"/>
      <c r="L19" s="20"/>
      <c r="M19" s="19">
        <v>29</v>
      </c>
      <c r="N19" s="19"/>
      <c r="O19" s="19">
        <f>100*(1+0.408)</f>
        <v>140.79999999999998</v>
      </c>
      <c r="P19" s="19"/>
      <c r="Q19" s="19">
        <f>(O19-100)/O19*100</f>
        <v>28.97727272727272</v>
      </c>
      <c r="R19" s="19"/>
      <c r="S19" s="19">
        <f>I19*(Q19/(100-Q19))</f>
        <v>40.79999999999999</v>
      </c>
      <c r="T19" s="20"/>
      <c r="U19" s="19">
        <f>M19/100*MAX(I19,O19)-S19</f>
        <v>0.03200000000000358</v>
      </c>
      <c r="V19" s="19"/>
      <c r="W19" s="22">
        <f>((G19-I19+U19)/G19)*100</f>
        <v>29.022720000000003</v>
      </c>
      <c r="X19" s="20"/>
      <c r="Y19" s="22">
        <v>100</v>
      </c>
      <c r="AA19" s="22">
        <v>0</v>
      </c>
    </row>
    <row r="20" spans="1:27" ht="16.5">
      <c r="A20" s="12" t="s">
        <v>61</v>
      </c>
      <c r="C20" s="8" t="s">
        <v>2</v>
      </c>
      <c r="E20" s="19">
        <v>35.43</v>
      </c>
      <c r="F20" s="20"/>
      <c r="G20" s="19">
        <f t="shared" si="0"/>
        <v>154.87068297971194</v>
      </c>
      <c r="H20" s="22"/>
      <c r="I20" s="21">
        <f>G20-(E20*G20/100)</f>
        <v>100</v>
      </c>
      <c r="J20" s="23"/>
      <c r="K20" s="22"/>
      <c r="L20" s="20"/>
      <c r="M20" s="19">
        <v>55.64</v>
      </c>
      <c r="N20" s="19"/>
      <c r="O20" s="19">
        <v>150</v>
      </c>
      <c r="P20" s="19"/>
      <c r="Q20" s="19">
        <f>(O20-100)/O20*100</f>
        <v>33.33333333333333</v>
      </c>
      <c r="R20" s="19"/>
      <c r="S20" s="19">
        <f>I20*(Q20/(100-Q20))</f>
        <v>49.999999999999986</v>
      </c>
      <c r="T20" s="20"/>
      <c r="U20" s="19">
        <f>M20/100*MAX(I20,O20)-S20</f>
        <v>33.46000000000002</v>
      </c>
      <c r="V20" s="19"/>
      <c r="W20" s="22">
        <f>((G20-I20+U20)/G20)*100</f>
        <v>57.035122000000015</v>
      </c>
      <c r="X20" s="20"/>
      <c r="Y20" s="22">
        <f>((G20-I20)/((G20-I20)+U20))*100</f>
        <v>62.11961815388067</v>
      </c>
      <c r="AA20" s="22">
        <f>(U20/((G20-I20)+U20))*100</f>
        <v>37.88038184611932</v>
      </c>
    </row>
    <row r="21" spans="1:27" ht="15">
      <c r="A21" s="12" t="s">
        <v>9</v>
      </c>
      <c r="C21" s="8" t="s">
        <v>25</v>
      </c>
      <c r="E21" s="19">
        <v>40.2</v>
      </c>
      <c r="F21" s="20"/>
      <c r="G21" s="19">
        <f>100/(1-E21/100)</f>
        <v>167.22408026755855</v>
      </c>
      <c r="H21" s="22"/>
      <c r="I21" s="21">
        <v>100</v>
      </c>
      <c r="J21" s="23"/>
      <c r="K21" s="22"/>
      <c r="L21" s="20"/>
      <c r="M21" s="19">
        <f>48.5*1.055</f>
        <v>51.1675</v>
      </c>
      <c r="N21" s="19"/>
      <c r="O21" s="19"/>
      <c r="P21" s="19"/>
      <c r="Q21" s="19"/>
      <c r="R21" s="19"/>
      <c r="S21" s="19"/>
      <c r="T21" s="20"/>
      <c r="U21" s="22">
        <f>I21/2*M21/100</f>
        <v>25.58375</v>
      </c>
      <c r="V21" s="19"/>
      <c r="W21" s="19">
        <f>(U21+(G21-I21))/G21*100</f>
        <v>55.49908250000001</v>
      </c>
      <c r="X21" s="20"/>
      <c r="Y21" s="22">
        <f t="shared" si="2"/>
        <v>72.43362987126861</v>
      </c>
      <c r="AA21" s="22">
        <f t="shared" si="3"/>
        <v>27.5663701287314</v>
      </c>
    </row>
    <row r="22" spans="1:27" ht="15">
      <c r="A22" s="12" t="s">
        <v>10</v>
      </c>
      <c r="C22" s="8" t="s">
        <v>30</v>
      </c>
      <c r="E22" s="19">
        <v>35</v>
      </c>
      <c r="F22" s="20"/>
      <c r="G22" s="19">
        <f>100/(1-E22/100)</f>
        <v>153.84615384615384</v>
      </c>
      <c r="H22" s="22"/>
      <c r="I22" s="21">
        <v>100</v>
      </c>
      <c r="J22" s="23"/>
      <c r="K22" s="22"/>
      <c r="L22" s="20"/>
      <c r="M22" s="19">
        <v>0</v>
      </c>
      <c r="N22" s="19"/>
      <c r="O22" s="19"/>
      <c r="P22" s="19"/>
      <c r="Q22" s="19"/>
      <c r="R22" s="19"/>
      <c r="S22" s="19"/>
      <c r="T22" s="20"/>
      <c r="U22" s="19">
        <f aca="true" t="shared" si="4" ref="U22:U29">+(M22/100)*MAX(I22,O22)-S22</f>
        <v>0</v>
      </c>
      <c r="V22" s="19"/>
      <c r="W22" s="19">
        <f aca="true" t="shared" si="5" ref="W22:W30">(U22+(G22-I22))/G22*100</f>
        <v>35</v>
      </c>
      <c r="X22" s="20"/>
      <c r="Y22" s="22">
        <f t="shared" si="2"/>
        <v>100</v>
      </c>
      <c r="AA22" s="22">
        <f t="shared" si="3"/>
        <v>0</v>
      </c>
    </row>
    <row r="23" spans="1:27" ht="16.5">
      <c r="A23" s="12" t="s">
        <v>62</v>
      </c>
      <c r="C23" s="8" t="s">
        <v>27</v>
      </c>
      <c r="E23" s="19">
        <v>18</v>
      </c>
      <c r="F23" s="20"/>
      <c r="G23" s="19">
        <f>100/(1-E23/100)</f>
        <v>121.95121951219511</v>
      </c>
      <c r="H23" s="22"/>
      <c r="I23" s="21">
        <v>100</v>
      </c>
      <c r="J23" s="23"/>
      <c r="K23" s="22"/>
      <c r="L23" s="20"/>
      <c r="M23" s="19">
        <v>35</v>
      </c>
      <c r="N23" s="19"/>
      <c r="O23" s="19"/>
      <c r="P23" s="19"/>
      <c r="Q23" s="19"/>
      <c r="R23" s="19"/>
      <c r="S23" s="19"/>
      <c r="T23" s="20"/>
      <c r="U23" s="19">
        <f>+(M23/100)*MAX(I23,O23)-S23</f>
        <v>35</v>
      </c>
      <c r="V23" s="19"/>
      <c r="W23" s="22">
        <f>(G23-I23+U23)/G23*100</f>
        <v>46.699999999999996</v>
      </c>
      <c r="X23" s="20"/>
      <c r="Y23" s="22">
        <f>((G23-I23)/((G23-I23)+U23))*100</f>
        <v>38.543897216274075</v>
      </c>
      <c r="AA23" s="22">
        <f>(U23/((G23-I23)+U23))*100</f>
        <v>61.45610278372592</v>
      </c>
    </row>
    <row r="24" spans="1:27" ht="15">
      <c r="A24" s="12" t="s">
        <v>11</v>
      </c>
      <c r="C24" s="8" t="s">
        <v>4</v>
      </c>
      <c r="E24" s="19">
        <v>18</v>
      </c>
      <c r="F24" s="20"/>
      <c r="G24" s="19">
        <f aca="true" t="shared" si="6" ref="G24:G35">100/(1-E24/100)</f>
        <v>121.95121951219511</v>
      </c>
      <c r="H24" s="19"/>
      <c r="I24" s="21">
        <v>100</v>
      </c>
      <c r="J24" s="21"/>
      <c r="K24" s="19"/>
      <c r="L24" s="20"/>
      <c r="M24" s="19">
        <v>10</v>
      </c>
      <c r="N24" s="19"/>
      <c r="O24" s="19"/>
      <c r="P24" s="19"/>
      <c r="Q24" s="19"/>
      <c r="R24" s="19"/>
      <c r="S24" s="19"/>
      <c r="T24" s="20"/>
      <c r="U24" s="19">
        <f t="shared" si="4"/>
        <v>10</v>
      </c>
      <c r="V24" s="19"/>
      <c r="W24" s="19">
        <f t="shared" si="5"/>
        <v>26.19999999999999</v>
      </c>
      <c r="X24" s="20"/>
      <c r="Y24" s="22">
        <f t="shared" si="2"/>
        <v>68.70229007633587</v>
      </c>
      <c r="AA24" s="22">
        <f t="shared" si="3"/>
        <v>31.297709923664137</v>
      </c>
    </row>
    <row r="25" spans="1:27" ht="15">
      <c r="A25" s="12" t="s">
        <v>12</v>
      </c>
      <c r="C25" s="8" t="s">
        <v>4</v>
      </c>
      <c r="E25" s="19">
        <v>12.5</v>
      </c>
      <c r="F25" s="20"/>
      <c r="G25" s="19">
        <f t="shared" si="6"/>
        <v>114.28571428571429</v>
      </c>
      <c r="H25" s="19"/>
      <c r="I25" s="21">
        <v>100</v>
      </c>
      <c r="J25" s="21"/>
      <c r="K25" s="19"/>
      <c r="L25" s="20"/>
      <c r="M25" s="19">
        <v>42</v>
      </c>
      <c r="N25" s="19"/>
      <c r="O25" s="19"/>
      <c r="P25" s="19"/>
      <c r="Q25" s="19"/>
      <c r="R25" s="19"/>
      <c r="S25" s="19"/>
      <c r="T25" s="20"/>
      <c r="U25" s="19">
        <f t="shared" si="4"/>
        <v>42</v>
      </c>
      <c r="V25" s="19"/>
      <c r="W25" s="19">
        <f t="shared" si="5"/>
        <v>49.25000000000001</v>
      </c>
      <c r="X25" s="20"/>
      <c r="Y25" s="22">
        <f t="shared" si="2"/>
        <v>25.380710659898487</v>
      </c>
      <c r="AA25" s="22">
        <f t="shared" si="3"/>
        <v>74.61928934010152</v>
      </c>
    </row>
    <row r="26" spans="1:27" ht="15">
      <c r="A26" s="12" t="s">
        <v>43</v>
      </c>
      <c r="C26" s="8" t="s">
        <v>29</v>
      </c>
      <c r="E26" s="8">
        <v>36</v>
      </c>
      <c r="F26" s="20"/>
      <c r="G26" s="19">
        <v>156.25</v>
      </c>
      <c r="H26" s="19"/>
      <c r="I26" s="21">
        <v>100</v>
      </c>
      <c r="J26" s="21"/>
      <c r="K26" s="19"/>
      <c r="L26" s="20"/>
      <c r="M26" s="19">
        <v>25</v>
      </c>
      <c r="N26" s="19"/>
      <c r="O26" s="19"/>
      <c r="P26" s="19"/>
      <c r="Q26" s="19"/>
      <c r="R26" s="19"/>
      <c r="S26" s="19"/>
      <c r="T26" s="20"/>
      <c r="U26" s="19">
        <v>25</v>
      </c>
      <c r="V26" s="19"/>
      <c r="W26" s="19">
        <v>52</v>
      </c>
      <c r="X26" s="20"/>
      <c r="Y26" s="22">
        <v>69.23076923076923</v>
      </c>
      <c r="Z26" s="20"/>
      <c r="AA26" s="22">
        <v>30.76923076923077</v>
      </c>
    </row>
    <row r="27" spans="1:27" ht="15">
      <c r="A27" s="12" t="s">
        <v>13</v>
      </c>
      <c r="C27" s="8" t="s">
        <v>39</v>
      </c>
      <c r="E27" s="19">
        <v>34</v>
      </c>
      <c r="F27" s="20"/>
      <c r="G27" s="19">
        <f t="shared" si="6"/>
        <v>151.51515151515153</v>
      </c>
      <c r="H27" s="22"/>
      <c r="I27" s="21">
        <v>100</v>
      </c>
      <c r="J27" s="23"/>
      <c r="K27" s="22">
        <v>12.5</v>
      </c>
      <c r="L27" s="20"/>
      <c r="M27" s="19">
        <v>12.5</v>
      </c>
      <c r="N27" s="19"/>
      <c r="O27" s="19" t="s">
        <v>40</v>
      </c>
      <c r="P27" s="19"/>
      <c r="Q27" s="19" t="s">
        <v>40</v>
      </c>
      <c r="R27" s="19"/>
      <c r="S27" s="19" t="s">
        <v>40</v>
      </c>
      <c r="T27" s="20"/>
      <c r="U27" s="19">
        <v>12.5</v>
      </c>
      <c r="V27" s="19"/>
      <c r="W27" s="19">
        <f t="shared" si="5"/>
        <v>42.25000000000001</v>
      </c>
      <c r="X27" s="20"/>
      <c r="Y27" s="22">
        <f t="shared" si="2"/>
        <v>80.4733727810651</v>
      </c>
      <c r="AA27" s="22">
        <f t="shared" si="3"/>
        <v>19.526627218934905</v>
      </c>
    </row>
    <row r="28" spans="1:27" s="27" customFormat="1" ht="16.5">
      <c r="A28" s="12" t="s">
        <v>79</v>
      </c>
      <c r="B28" s="2"/>
      <c r="C28" s="8" t="s">
        <v>4</v>
      </c>
      <c r="D28" s="2"/>
      <c r="E28" s="19">
        <v>40.87</v>
      </c>
      <c r="F28" s="2"/>
      <c r="G28" s="19">
        <f t="shared" si="6"/>
        <v>169.1188905800778</v>
      </c>
      <c r="H28" s="8"/>
      <c r="I28" s="21">
        <v>100</v>
      </c>
      <c r="J28" s="21"/>
      <c r="K28" s="8"/>
      <c r="M28" s="19">
        <v>50</v>
      </c>
      <c r="N28" s="19"/>
      <c r="O28" s="19"/>
      <c r="P28" s="8"/>
      <c r="Q28" s="19"/>
      <c r="R28" s="19"/>
      <c r="S28" s="19">
        <v>6.4</v>
      </c>
      <c r="U28" s="19">
        <f t="shared" si="4"/>
        <v>43.6</v>
      </c>
      <c r="V28" s="8"/>
      <c r="W28" s="19">
        <f t="shared" si="5"/>
        <v>66.65068</v>
      </c>
      <c r="X28" s="30"/>
      <c r="Y28" s="22">
        <f t="shared" si="2"/>
        <v>61.31970446513074</v>
      </c>
      <c r="Z28" s="2"/>
      <c r="AA28" s="22">
        <f t="shared" si="3"/>
        <v>38.680295534869266</v>
      </c>
    </row>
    <row r="29" spans="1:29" s="27" customFormat="1" ht="15">
      <c r="A29" s="12" t="s">
        <v>15</v>
      </c>
      <c r="B29" s="2"/>
      <c r="C29" s="8" t="s">
        <v>6</v>
      </c>
      <c r="D29" s="2"/>
      <c r="E29" s="19">
        <v>29.7</v>
      </c>
      <c r="F29" s="2"/>
      <c r="G29" s="19">
        <f t="shared" si="6"/>
        <v>142.24751066856328</v>
      </c>
      <c r="H29" s="8"/>
      <c r="I29" s="21">
        <v>100</v>
      </c>
      <c r="J29" s="21"/>
      <c r="K29" s="8"/>
      <c r="M29" s="19">
        <v>39.6</v>
      </c>
      <c r="N29" s="19"/>
      <c r="O29" s="19">
        <v>119</v>
      </c>
      <c r="P29" s="8"/>
      <c r="Q29" s="19">
        <f>(O29-100)/O29*100</f>
        <v>15.966386554621847</v>
      </c>
      <c r="R29" s="19"/>
      <c r="S29" s="19">
        <f>+O29*Q29/100</f>
        <v>18.999999999999996</v>
      </c>
      <c r="U29" s="19">
        <f t="shared" si="4"/>
        <v>28.124000000000006</v>
      </c>
      <c r="V29" s="8"/>
      <c r="W29" s="19">
        <f t="shared" si="5"/>
        <v>49.471171999999996</v>
      </c>
      <c r="X29" s="30"/>
      <c r="Y29" s="22">
        <f t="shared" si="2"/>
        <v>60.034963392417694</v>
      </c>
      <c r="Z29" s="2"/>
      <c r="AA29" s="22">
        <f t="shared" si="3"/>
        <v>39.965036607582306</v>
      </c>
      <c r="AB29" s="2"/>
      <c r="AC29" s="2"/>
    </row>
    <row r="30" spans="1:27" ht="15">
      <c r="A30" s="12" t="s">
        <v>16</v>
      </c>
      <c r="C30" s="8" t="s">
        <v>25</v>
      </c>
      <c r="E30" s="19">
        <v>30.4</v>
      </c>
      <c r="F30" s="20"/>
      <c r="G30" s="19">
        <f t="shared" si="6"/>
        <v>143.67816091954023</v>
      </c>
      <c r="H30" s="22"/>
      <c r="I30" s="21">
        <v>100</v>
      </c>
      <c r="J30" s="23"/>
      <c r="K30" s="22"/>
      <c r="L30" s="20"/>
      <c r="M30" s="19">
        <v>38.95</v>
      </c>
      <c r="N30" s="19"/>
      <c r="O30" s="19"/>
      <c r="P30" s="19"/>
      <c r="Q30" s="19"/>
      <c r="R30" s="19"/>
      <c r="S30" s="19"/>
      <c r="T30" s="20"/>
      <c r="U30" s="19">
        <f>I30/2*M30/100</f>
        <v>19.475</v>
      </c>
      <c r="V30" s="19"/>
      <c r="W30" s="19">
        <f t="shared" si="5"/>
        <v>43.954600000000006</v>
      </c>
      <c r="X30" s="20"/>
      <c r="Y30" s="22">
        <f t="shared" si="2"/>
        <v>69.16227198063456</v>
      </c>
      <c r="AA30" s="22">
        <f t="shared" si="3"/>
        <v>30.837728019365436</v>
      </c>
    </row>
    <row r="31" spans="1:27" ht="15">
      <c r="A31" s="12" t="s">
        <v>17</v>
      </c>
      <c r="C31" s="8" t="s">
        <v>2</v>
      </c>
      <c r="E31" s="19">
        <v>34</v>
      </c>
      <c r="F31" s="20"/>
      <c r="G31" s="19">
        <f>100/(1-E31/100)</f>
        <v>151.51515151515153</v>
      </c>
      <c r="H31" s="19"/>
      <c r="I31" s="21">
        <v>100</v>
      </c>
      <c r="J31" s="21"/>
      <c r="K31" s="19"/>
      <c r="L31" s="20"/>
      <c r="M31" s="19">
        <v>34</v>
      </c>
      <c r="N31" s="19"/>
      <c r="O31" s="19">
        <f>100/(1-M31/100)</f>
        <v>151.51515151515153</v>
      </c>
      <c r="P31" s="19"/>
      <c r="Q31" s="19">
        <f>((O31-100)/O31)*100</f>
        <v>34.00000000000001</v>
      </c>
      <c r="R31" s="19"/>
      <c r="S31" s="19">
        <f>+I31*(Q31/(100-Q31))</f>
        <v>51.51515151515152</v>
      </c>
      <c r="T31" s="20"/>
      <c r="U31" s="19">
        <f>((Q31/100)*O31)-S31</f>
        <v>0</v>
      </c>
      <c r="V31" s="19"/>
      <c r="W31" s="22">
        <f>(G31-I31+U31)/G31*100</f>
        <v>34.00000000000001</v>
      </c>
      <c r="X31" s="20"/>
      <c r="Y31" s="22">
        <f>((G31-I31)/((G31-I31)+U31))*100</f>
        <v>100</v>
      </c>
      <c r="AA31" s="22">
        <f>(U31/((G31-I31)+U31))*100</f>
        <v>0</v>
      </c>
    </row>
    <row r="32" spans="1:27" ht="15">
      <c r="A32" s="12" t="s">
        <v>18</v>
      </c>
      <c r="C32" s="8" t="s">
        <v>4</v>
      </c>
      <c r="E32" s="19">
        <v>34.5</v>
      </c>
      <c r="F32" s="20"/>
      <c r="G32" s="19">
        <f t="shared" si="6"/>
        <v>152.67175572519082</v>
      </c>
      <c r="H32" s="19"/>
      <c r="I32" s="21">
        <v>100</v>
      </c>
      <c r="J32" s="21"/>
      <c r="K32" s="19"/>
      <c r="L32" s="20"/>
      <c r="M32" s="19">
        <v>25</v>
      </c>
      <c r="N32" s="19"/>
      <c r="O32" s="19"/>
      <c r="P32" s="19"/>
      <c r="Q32" s="19"/>
      <c r="R32" s="19"/>
      <c r="S32" s="19"/>
      <c r="T32" s="20"/>
      <c r="U32" s="19">
        <f>+(M32/100)*MAX(I32,O32)-S32</f>
        <v>25</v>
      </c>
      <c r="V32" s="19"/>
      <c r="W32" s="22">
        <f aca="true" t="shared" si="7" ref="W32:W40">(G32-I32+U32)/G32*100</f>
        <v>50.87499999999999</v>
      </c>
      <c r="X32" s="20"/>
      <c r="Y32" s="22">
        <f t="shared" si="2"/>
        <v>67.81326781326781</v>
      </c>
      <c r="AA32" s="22">
        <f t="shared" si="3"/>
        <v>32.18673218673219</v>
      </c>
    </row>
    <row r="33" spans="1:27" ht="16.5">
      <c r="A33" s="12" t="s">
        <v>71</v>
      </c>
      <c r="C33" s="8" t="s">
        <v>2</v>
      </c>
      <c r="E33" s="19">
        <v>33</v>
      </c>
      <c r="F33" s="20"/>
      <c r="G33" s="19">
        <f t="shared" si="6"/>
        <v>149.2537313432836</v>
      </c>
      <c r="H33" s="19"/>
      <c r="I33" s="21">
        <v>100</v>
      </c>
      <c r="J33" s="21"/>
      <c r="K33" s="19"/>
      <c r="L33" s="20"/>
      <c r="M33" s="19">
        <v>39</v>
      </c>
      <c r="N33" s="19"/>
      <c r="O33" s="19">
        <v>149.3</v>
      </c>
      <c r="P33" s="19"/>
      <c r="Q33" s="19">
        <f>(O33-100)/O33*100</f>
        <v>33.02076356329538</v>
      </c>
      <c r="R33" s="19"/>
      <c r="S33" s="19">
        <f>+I33*(Q33/(100-Q33))</f>
        <v>49.30000000000002</v>
      </c>
      <c r="T33" s="20"/>
      <c r="U33" s="19">
        <f>+(M33/100)*MAX(I33,O33)-S33</f>
        <v>8.926999999999985</v>
      </c>
      <c r="V33" s="19"/>
      <c r="W33" s="22">
        <f t="shared" si="7"/>
        <v>38.981089999999995</v>
      </c>
      <c r="X33" s="20"/>
      <c r="Y33" s="22">
        <f t="shared" si="2"/>
        <v>84.65643213157972</v>
      </c>
      <c r="AA33" s="22">
        <f t="shared" si="3"/>
        <v>15.34356786842028</v>
      </c>
    </row>
    <row r="34" spans="1:27" ht="15">
      <c r="A34" s="12" t="s">
        <v>19</v>
      </c>
      <c r="C34" s="8" t="s">
        <v>2</v>
      </c>
      <c r="E34" s="19">
        <v>28</v>
      </c>
      <c r="F34" s="20"/>
      <c r="G34" s="19">
        <f t="shared" si="6"/>
        <v>138.88888888888889</v>
      </c>
      <c r="H34" s="19"/>
      <c r="I34" s="21">
        <v>100</v>
      </c>
      <c r="J34" s="21"/>
      <c r="K34" s="19"/>
      <c r="L34" s="20"/>
      <c r="M34" s="19">
        <v>28</v>
      </c>
      <c r="N34" s="19"/>
      <c r="O34" s="19">
        <v>138.9</v>
      </c>
      <c r="P34" s="19"/>
      <c r="Q34" s="19">
        <f>(O34-100)/O34*100</f>
        <v>28.005759539236863</v>
      </c>
      <c r="R34" s="19"/>
      <c r="S34" s="19">
        <f>+I34*(Q34/(100-Q34))</f>
        <v>38.9</v>
      </c>
      <c r="T34" s="20"/>
      <c r="U34" s="19">
        <f>+(M34/100)*MAX(I34,O34)-S34</f>
        <v>-0.007999999999995566</v>
      </c>
      <c r="V34" s="19"/>
      <c r="W34" s="22">
        <f t="shared" si="7"/>
        <v>27.994240000000005</v>
      </c>
      <c r="X34" s="20"/>
      <c r="Y34" s="22">
        <f t="shared" si="2"/>
        <v>100.02057566127888</v>
      </c>
      <c r="AA34" s="22">
        <f t="shared" si="3"/>
        <v>-0.020575661278880254</v>
      </c>
    </row>
    <row r="35" spans="1:27" ht="15">
      <c r="A35" s="12" t="s">
        <v>36</v>
      </c>
      <c r="C35" s="8" t="s">
        <v>29</v>
      </c>
      <c r="E35" s="19">
        <v>27</v>
      </c>
      <c r="F35" s="20"/>
      <c r="G35" s="19">
        <f t="shared" si="6"/>
        <v>136.986301369863</v>
      </c>
      <c r="H35" s="22"/>
      <c r="I35" s="21">
        <v>100</v>
      </c>
      <c r="J35" s="23"/>
      <c r="K35" s="19">
        <v>15</v>
      </c>
      <c r="L35" s="19">
        <v>15</v>
      </c>
      <c r="M35" s="19">
        <v>15</v>
      </c>
      <c r="N35" s="19"/>
      <c r="O35" s="19"/>
      <c r="P35" s="19"/>
      <c r="Q35" s="19"/>
      <c r="R35" s="19"/>
      <c r="S35" s="19"/>
      <c r="T35" s="20"/>
      <c r="U35" s="19">
        <f>+(M35/100)*MAX(I35,O35)-S35</f>
        <v>15</v>
      </c>
      <c r="V35" s="19"/>
      <c r="W35" s="22">
        <f t="shared" si="7"/>
        <v>37.95</v>
      </c>
      <c r="X35" s="20"/>
      <c r="Y35" s="22">
        <f t="shared" si="2"/>
        <v>71.14624505928853</v>
      </c>
      <c r="AA35" s="22">
        <f t="shared" si="3"/>
        <v>28.85375494071146</v>
      </c>
    </row>
    <row r="36" spans="1:27" ht="15">
      <c r="A36" s="12" t="s">
        <v>20</v>
      </c>
      <c r="C36" s="8" t="s">
        <v>25</v>
      </c>
      <c r="E36" s="19">
        <v>33</v>
      </c>
      <c r="F36" s="20"/>
      <c r="G36" s="19">
        <f aca="true" t="shared" si="8" ref="G36:G43">100/(1-E36/100)</f>
        <v>149.2537313432836</v>
      </c>
      <c r="H36" s="19"/>
      <c r="I36" s="21">
        <v>100</v>
      </c>
      <c r="J36" s="21"/>
      <c r="K36" s="19"/>
      <c r="L36" s="20"/>
      <c r="M36" s="19">
        <v>40</v>
      </c>
      <c r="N36" s="19"/>
      <c r="O36" s="19"/>
      <c r="P36" s="19"/>
      <c r="Q36" s="19"/>
      <c r="R36" s="19"/>
      <c r="S36" s="19"/>
      <c r="T36" s="20"/>
      <c r="U36" s="19">
        <f>I36/2*M36/100</f>
        <v>20</v>
      </c>
      <c r="V36" s="19"/>
      <c r="W36" s="22">
        <f t="shared" si="7"/>
        <v>46.400000000000006</v>
      </c>
      <c r="X36" s="20"/>
      <c r="Y36" s="22">
        <f t="shared" si="2"/>
        <v>71.12068965517241</v>
      </c>
      <c r="AA36" s="22">
        <f t="shared" si="3"/>
        <v>28.87931034482758</v>
      </c>
    </row>
    <row r="37" spans="1:27" ht="15">
      <c r="A37" s="12" t="s">
        <v>21</v>
      </c>
      <c r="C37" s="8" t="s">
        <v>4</v>
      </c>
      <c r="E37" s="19">
        <v>25</v>
      </c>
      <c r="F37" s="20"/>
      <c r="G37" s="19">
        <f t="shared" si="8"/>
        <v>133.33333333333334</v>
      </c>
      <c r="H37" s="22"/>
      <c r="I37" s="21">
        <v>100</v>
      </c>
      <c r="J37" s="23"/>
      <c r="K37" s="22">
        <v>15</v>
      </c>
      <c r="L37" s="20"/>
      <c r="M37" s="19">
        <v>15</v>
      </c>
      <c r="N37" s="19"/>
      <c r="O37" s="19"/>
      <c r="P37" s="19"/>
      <c r="Q37" s="19"/>
      <c r="R37" s="19"/>
      <c r="S37" s="19"/>
      <c r="T37" s="20"/>
      <c r="U37" s="19">
        <f>+(M37/100)*MAX(I37,O37)-S37</f>
        <v>15</v>
      </c>
      <c r="V37" s="19"/>
      <c r="W37" s="22">
        <f t="shared" si="7"/>
        <v>36.25000000000001</v>
      </c>
      <c r="X37" s="20"/>
      <c r="Y37" s="22">
        <f t="shared" si="2"/>
        <v>68.96551724137932</v>
      </c>
      <c r="AA37" s="22">
        <f t="shared" si="3"/>
        <v>31.034482758620683</v>
      </c>
    </row>
    <row r="38" spans="1:27" ht="15">
      <c r="A38" s="12" t="s">
        <v>42</v>
      </c>
      <c r="C38" s="8" t="s">
        <v>25</v>
      </c>
      <c r="E38" s="8">
        <v>25</v>
      </c>
      <c r="G38" s="19">
        <v>133.33333333333334</v>
      </c>
      <c r="H38" s="24"/>
      <c r="I38" s="21">
        <v>100</v>
      </c>
      <c r="J38" s="23"/>
      <c r="K38" s="24"/>
      <c r="M38" s="19">
        <v>50</v>
      </c>
      <c r="N38" s="19"/>
      <c r="O38" s="19"/>
      <c r="P38" s="19"/>
      <c r="Q38" s="19"/>
      <c r="R38" s="19"/>
      <c r="S38" s="19"/>
      <c r="T38" s="20"/>
      <c r="U38" s="19">
        <v>30</v>
      </c>
      <c r="V38" s="19"/>
      <c r="W38" s="22">
        <v>47.5</v>
      </c>
      <c r="X38" s="20"/>
      <c r="Y38" s="22">
        <v>52.63157894736843</v>
      </c>
      <c r="Z38" s="20"/>
      <c r="AA38" s="22">
        <v>47.36842105263157</v>
      </c>
    </row>
    <row r="39" spans="1:27" ht="15">
      <c r="A39" s="12" t="s">
        <v>22</v>
      </c>
      <c r="C39" s="8" t="s">
        <v>6</v>
      </c>
      <c r="E39" s="19">
        <v>35</v>
      </c>
      <c r="F39" s="20"/>
      <c r="G39" s="19">
        <f t="shared" si="8"/>
        <v>153.84615384615384</v>
      </c>
      <c r="H39" s="19"/>
      <c r="I39" s="21">
        <v>100</v>
      </c>
      <c r="J39" s="21"/>
      <c r="K39" s="19"/>
      <c r="L39" s="20"/>
      <c r="M39" s="19">
        <v>45</v>
      </c>
      <c r="N39" s="19"/>
      <c r="O39" s="19">
        <v>140</v>
      </c>
      <c r="P39" s="19"/>
      <c r="Q39" s="19">
        <f>(O39-100)/O39*100</f>
        <v>28.57142857142857</v>
      </c>
      <c r="R39" s="19"/>
      <c r="S39" s="19">
        <f>+I39*(Q39/(100-Q39))</f>
        <v>40</v>
      </c>
      <c r="T39" s="20"/>
      <c r="U39" s="19">
        <f>+(M39/100)*MAX(I39,O39)-S39</f>
        <v>23</v>
      </c>
      <c r="V39" s="19"/>
      <c r="W39" s="22">
        <f t="shared" si="7"/>
        <v>49.95</v>
      </c>
      <c r="X39" s="20"/>
      <c r="Y39" s="22">
        <f t="shared" si="2"/>
        <v>70.07007007007007</v>
      </c>
      <c r="AA39" s="22">
        <f t="shared" si="3"/>
        <v>29.929929929929934</v>
      </c>
    </row>
    <row r="40" spans="1:27" ht="15">
      <c r="A40" s="12" t="s">
        <v>23</v>
      </c>
      <c r="C40" s="8" t="s">
        <v>4</v>
      </c>
      <c r="E40" s="19">
        <v>28</v>
      </c>
      <c r="F40" s="20"/>
      <c r="G40" s="19">
        <f t="shared" si="8"/>
        <v>138.88888888888889</v>
      </c>
      <c r="H40" s="19"/>
      <c r="I40" s="21">
        <v>100</v>
      </c>
      <c r="J40" s="21"/>
      <c r="K40" s="19"/>
      <c r="L40" s="20"/>
      <c r="M40" s="19">
        <v>30</v>
      </c>
      <c r="N40" s="19"/>
      <c r="O40" s="19"/>
      <c r="P40" s="19"/>
      <c r="Q40" s="19"/>
      <c r="R40" s="19"/>
      <c r="S40" s="19"/>
      <c r="T40" s="20"/>
      <c r="U40" s="19">
        <f>+(M40/100)*MAX(I40,O40)-S40</f>
        <v>30</v>
      </c>
      <c r="V40" s="19"/>
      <c r="W40" s="22">
        <f t="shared" si="7"/>
        <v>49.6</v>
      </c>
      <c r="X40" s="20"/>
      <c r="Y40" s="22">
        <f t="shared" si="2"/>
        <v>56.4516129032258</v>
      </c>
      <c r="AA40" s="22">
        <f t="shared" si="3"/>
        <v>43.54838709677419</v>
      </c>
    </row>
    <row r="41" spans="1:27" ht="16.5">
      <c r="A41" s="12" t="s">
        <v>72</v>
      </c>
      <c r="C41" s="8" t="s">
        <v>4</v>
      </c>
      <c r="E41" s="19">
        <v>24.099823911591475</v>
      </c>
      <c r="F41" s="20"/>
      <c r="G41" s="19">
        <f t="shared" si="8"/>
        <v>131.752</v>
      </c>
      <c r="H41" s="19"/>
      <c r="I41" s="21">
        <v>100</v>
      </c>
      <c r="J41" s="21"/>
      <c r="K41" s="19"/>
      <c r="L41" s="20"/>
      <c r="M41" s="19">
        <f>13*(1+1.22)+11.5</f>
        <v>40.36</v>
      </c>
      <c r="N41" s="19"/>
      <c r="O41" s="19"/>
      <c r="P41" s="19"/>
      <c r="Q41" s="19"/>
      <c r="R41" s="19"/>
      <c r="S41" s="19"/>
      <c r="T41" s="20"/>
      <c r="U41" s="19">
        <f>+(M41/100)*MAX(I41,O41)-S41</f>
        <v>40.36</v>
      </c>
      <c r="V41" s="19"/>
      <c r="W41" s="22">
        <f>(G41-I41+U41)/G41*100</f>
        <v>54.73313498087315</v>
      </c>
      <c r="X41" s="20"/>
      <c r="Y41" s="22">
        <f t="shared" si="2"/>
        <v>44.03150654537387</v>
      </c>
      <c r="AA41" s="22">
        <f t="shared" si="3"/>
        <v>55.968493454626135</v>
      </c>
    </row>
    <row r="42" spans="1:28" ht="15">
      <c r="A42" s="12" t="s">
        <v>24</v>
      </c>
      <c r="C42" s="8" t="s">
        <v>25</v>
      </c>
      <c r="E42" s="19">
        <v>30</v>
      </c>
      <c r="F42" s="20"/>
      <c r="G42" s="19">
        <f t="shared" si="8"/>
        <v>142.85714285714286</v>
      </c>
      <c r="H42" s="19"/>
      <c r="I42" s="21">
        <v>100</v>
      </c>
      <c r="J42" s="21"/>
      <c r="K42" s="19">
        <v>11</v>
      </c>
      <c r="L42" s="20"/>
      <c r="M42" s="19">
        <v>45</v>
      </c>
      <c r="N42" s="19"/>
      <c r="O42" s="19"/>
      <c r="P42" s="19"/>
      <c r="Q42" s="19"/>
      <c r="R42" s="19"/>
      <c r="S42" s="19">
        <v>0</v>
      </c>
      <c r="T42" s="20"/>
      <c r="U42" s="19">
        <f>(I42/2*M42/100)-(I42*10/100)+(I42*10/100*1.1)</f>
        <v>23.5</v>
      </c>
      <c r="V42" s="19"/>
      <c r="W42" s="31">
        <f>(U42+(G42-100))/G42*100</f>
        <v>46.45</v>
      </c>
      <c r="X42" s="20"/>
      <c r="Y42" s="22">
        <f t="shared" si="2"/>
        <v>64.58557588805166</v>
      </c>
      <c r="Z42" s="22" t="e">
        <f>(H42-J42)/(H42-J42+L42+V42)*100</f>
        <v>#DIV/0!</v>
      </c>
      <c r="AA42" s="22">
        <f t="shared" si="3"/>
        <v>35.41442411194833</v>
      </c>
      <c r="AB42" s="20"/>
    </row>
    <row r="43" spans="1:28" ht="16.5">
      <c r="A43" s="12" t="s">
        <v>66</v>
      </c>
      <c r="C43" s="8" t="s">
        <v>6</v>
      </c>
      <c r="D43" s="8"/>
      <c r="E43" s="19">
        <v>30</v>
      </c>
      <c r="F43" s="20"/>
      <c r="G43" s="19">
        <f t="shared" si="8"/>
        <v>142.85714285714286</v>
      </c>
      <c r="H43" s="19"/>
      <c r="I43" s="21">
        <v>100</v>
      </c>
      <c r="J43" s="21"/>
      <c r="K43" s="19"/>
      <c r="L43" s="20"/>
      <c r="M43" s="19">
        <v>32.5</v>
      </c>
      <c r="N43" s="19"/>
      <c r="O43" s="19">
        <v>111.11</v>
      </c>
      <c r="P43" s="19"/>
      <c r="Q43" s="19">
        <f>(O43-100)/O43*100</f>
        <v>9.99909999099991</v>
      </c>
      <c r="R43" s="19"/>
      <c r="S43" s="19">
        <f>+I43*(Q43/(100-Q43))</f>
        <v>11.110000000000001</v>
      </c>
      <c r="T43" s="20"/>
      <c r="U43" s="19">
        <f>+(M43/100)*MAX(I43,O43)-S43</f>
        <v>25.000750000000004</v>
      </c>
      <c r="V43" s="19"/>
      <c r="W43" s="22">
        <f>(G43-I43+U43)/G43*100</f>
        <v>47.50052500000001</v>
      </c>
      <c r="X43" s="22"/>
      <c r="Y43" s="22">
        <f t="shared" si="2"/>
        <v>63.15719668361559</v>
      </c>
      <c r="Z43" s="20"/>
      <c r="AA43" s="22">
        <f t="shared" si="3"/>
        <v>36.84280331638439</v>
      </c>
      <c r="AB43" s="20"/>
    </row>
    <row r="44" spans="1:27" ht="16.5">
      <c r="A44" s="12" t="s">
        <v>67</v>
      </c>
      <c r="C44" s="8" t="s">
        <v>29</v>
      </c>
      <c r="E44" s="19">
        <v>39.3</v>
      </c>
      <c r="F44" s="20"/>
      <c r="G44" s="19">
        <f>100/(1-E44/100)</f>
        <v>164.74464579901155</v>
      </c>
      <c r="H44" s="19"/>
      <c r="I44" s="21">
        <v>100</v>
      </c>
      <c r="J44" s="21"/>
      <c r="K44" s="19"/>
      <c r="L44" s="20"/>
      <c r="M44" s="19">
        <v>20.8</v>
      </c>
      <c r="N44" s="19"/>
      <c r="O44" s="19"/>
      <c r="P44" s="19"/>
      <c r="Q44" s="19"/>
      <c r="R44" s="19"/>
      <c r="S44" s="19"/>
      <c r="T44" s="20"/>
      <c r="U44" s="19">
        <f>+(M44/100)*MAX(I44,O44)-S44</f>
        <v>20.8</v>
      </c>
      <c r="V44" s="19"/>
      <c r="W44" s="22">
        <f>(G44-I44+U44)/G44*100</f>
        <v>51.9256</v>
      </c>
      <c r="X44" s="20"/>
      <c r="Y44" s="22">
        <f t="shared" si="2"/>
        <v>75.68521114825828</v>
      </c>
      <c r="AA44" s="22">
        <f>(U44/((G44-I44)+U44))*100</f>
        <v>24.31478885174172</v>
      </c>
    </row>
    <row r="45" spans="1:27" ht="5.25" customHeight="1" thickBot="1">
      <c r="A45" s="28"/>
      <c r="B45" s="28"/>
      <c r="C45" s="28"/>
      <c r="D45" s="28"/>
      <c r="E45" s="28"/>
      <c r="F45" s="28"/>
      <c r="G45" s="28"/>
      <c r="H45" s="28"/>
      <c r="I45" s="28"/>
      <c r="J45" s="28"/>
      <c r="K45" s="28"/>
      <c r="L45" s="28"/>
      <c r="M45" s="28"/>
      <c r="N45" s="28"/>
      <c r="O45" s="28"/>
      <c r="P45" s="28"/>
      <c r="Q45" s="28"/>
      <c r="R45" s="28"/>
      <c r="S45" s="28"/>
      <c r="T45" s="28"/>
      <c r="U45" s="29"/>
      <c r="V45" s="28"/>
      <c r="W45" s="28"/>
      <c r="X45" s="28"/>
      <c r="Y45" s="28"/>
      <c r="Z45" s="28"/>
      <c r="AA45" s="28"/>
    </row>
    <row r="46" ht="5.25" customHeight="1"/>
    <row r="47" ht="12.75" customHeight="1"/>
    <row r="48" ht="12.75" customHeight="1">
      <c r="A48" s="12"/>
    </row>
    <row r="49" spans="1:3" ht="12.75" customHeight="1">
      <c r="A49" s="53"/>
      <c r="B49" s="53"/>
      <c r="C49" s="53"/>
    </row>
    <row r="50" ht="12.75" customHeight="1"/>
    <row r="51" ht="12.75" customHeight="1"/>
    <row r="52" ht="12.75" customHeight="1"/>
    <row r="53" ht="12.75" customHeight="1"/>
    <row r="54" ht="12.75" customHeight="1"/>
    <row r="55" ht="12.75" customHeight="1"/>
    <row r="56" ht="12.75" customHeight="1"/>
  </sheetData>
  <sheetProtection/>
  <mergeCells count="14">
    <mergeCell ref="C5:C8"/>
    <mergeCell ref="E5:E8"/>
    <mergeCell ref="G5:G8"/>
    <mergeCell ref="I5:I8"/>
    <mergeCell ref="A49:C49"/>
    <mergeCell ref="M5:M8"/>
    <mergeCell ref="K5:K8"/>
    <mergeCell ref="O5:O8"/>
    <mergeCell ref="Q5:Q8"/>
    <mergeCell ref="AA5:AA8"/>
    <mergeCell ref="S5:S8"/>
    <mergeCell ref="U5:U8"/>
    <mergeCell ref="W5:W8"/>
    <mergeCell ref="Y5:Y8"/>
  </mergeCells>
  <printOptions/>
  <pageMargins left="0.25" right="0.25" top="1" bottom="1" header="0.3" footer="0.3"/>
  <pageSetup fitToHeight="1" fitToWidth="1" horizontalDpi="600" verticalDpi="600" orientation="portrait" paperSize="9" scale="56"/>
  <ignoredErrors>
    <ignoredError sqref="G21 U12 W23 U36 U42 W42" formula="1"/>
    <ignoredError sqref="Z42" evalError="1"/>
  </ignoredErrors>
  <drawing r:id="rId1"/>
</worksheet>
</file>

<file path=xl/worksheets/sheet15.xml><?xml version="1.0" encoding="utf-8"?>
<worksheet xmlns="http://schemas.openxmlformats.org/spreadsheetml/2006/main" xmlns:r="http://schemas.openxmlformats.org/officeDocument/2006/relationships">
  <sheetPr>
    <pageSetUpPr fitToPage="1"/>
  </sheetPr>
  <dimension ref="A1:AC49"/>
  <sheetViews>
    <sheetView showGridLines="0" zoomScalePageLayoutView="0" workbookViewId="0" topLeftCell="A25">
      <selection activeCell="A1" sqref="A1:IV65536"/>
    </sheetView>
  </sheetViews>
  <sheetFormatPr defaultColWidth="9.140625" defaultRowHeight="12.75"/>
  <cols>
    <col min="1" max="1" width="16.42187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5.28125" style="2" customWidth="1"/>
    <col min="10" max="10" width="0.85546875" style="2" customWidth="1"/>
    <col min="11" max="11" width="9.2812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421875" style="2" customWidth="1"/>
    <col min="18" max="18" width="0.85546875" style="2" customWidth="1"/>
    <col min="19" max="19" width="12.421875" style="2" customWidth="1"/>
    <col min="20" max="20" width="0.85546875" style="2" customWidth="1"/>
    <col min="21" max="21" width="8.7109375" style="4" customWidth="1"/>
    <col min="22" max="22" width="0.85546875" style="2" customWidth="1"/>
    <col min="23" max="23" width="8.140625" style="2" customWidth="1"/>
    <col min="24" max="24" width="0.9921875" style="2" customWidth="1"/>
    <col min="25" max="25" width="7.421875" style="2" customWidth="1"/>
    <col min="26" max="26" width="0.9921875" style="2" customWidth="1"/>
    <col min="27" max="27" width="7.421875" style="2" customWidth="1"/>
    <col min="28" max="16384" width="9.140625" style="2" customWidth="1"/>
  </cols>
  <sheetData>
    <row r="1" spans="1:3" ht="15" customHeight="1">
      <c r="A1" s="1">
        <v>41680</v>
      </c>
      <c r="C1" s="3"/>
    </row>
    <row r="2" spans="1:27" ht="15" customHeight="1">
      <c r="A2" s="5" t="s">
        <v>76</v>
      </c>
      <c r="B2" s="6"/>
      <c r="C2" s="6"/>
      <c r="D2" s="6"/>
      <c r="E2" s="6"/>
      <c r="F2" s="6"/>
      <c r="G2" s="6"/>
      <c r="H2" s="6"/>
      <c r="I2" s="6"/>
      <c r="J2" s="6"/>
      <c r="K2" s="6"/>
      <c r="L2" s="6"/>
      <c r="M2" s="6"/>
      <c r="N2" s="6"/>
      <c r="O2" s="6"/>
      <c r="P2" s="6"/>
      <c r="Q2" s="6"/>
      <c r="R2" s="6"/>
      <c r="S2" s="6"/>
      <c r="T2" s="6"/>
      <c r="U2" s="6"/>
      <c r="V2" s="6"/>
      <c r="W2" s="6"/>
      <c r="X2" s="6"/>
      <c r="Y2" s="6"/>
      <c r="Z2" s="6"/>
      <c r="AA2" s="6"/>
    </row>
    <row r="3" spans="1:27" s="8" customFormat="1" ht="15" customHeight="1" thickBot="1">
      <c r="A3" s="7"/>
      <c r="B3" s="7"/>
      <c r="C3" s="7"/>
      <c r="D3" s="7"/>
      <c r="E3" s="7"/>
      <c r="F3" s="7"/>
      <c r="G3" s="7"/>
      <c r="H3" s="7"/>
      <c r="I3" s="7"/>
      <c r="J3" s="7"/>
      <c r="K3" s="7"/>
      <c r="L3" s="7"/>
      <c r="M3" s="7"/>
      <c r="N3" s="7"/>
      <c r="O3" s="7"/>
      <c r="P3" s="7"/>
      <c r="Q3" s="7"/>
      <c r="R3" s="7"/>
      <c r="S3" s="7"/>
      <c r="T3" s="7"/>
      <c r="U3" s="7"/>
      <c r="V3" s="7"/>
      <c r="W3" s="7"/>
      <c r="X3" s="7"/>
      <c r="Y3" s="7"/>
      <c r="Z3" s="7"/>
      <c r="AA3" s="7"/>
    </row>
    <row r="4" ht="15" customHeight="1"/>
    <row r="5" spans="1:27" s="12" customFormat="1" ht="15" customHeight="1">
      <c r="A5" s="9"/>
      <c r="B5" s="9"/>
      <c r="C5" s="51" t="s">
        <v>0</v>
      </c>
      <c r="D5" s="10"/>
      <c r="E5" s="51" t="s">
        <v>46</v>
      </c>
      <c r="F5" s="11"/>
      <c r="G5" s="51" t="s">
        <v>47</v>
      </c>
      <c r="H5" s="11"/>
      <c r="I5" s="51" t="s">
        <v>48</v>
      </c>
      <c r="J5" s="10"/>
      <c r="K5" s="51" t="s">
        <v>49</v>
      </c>
      <c r="L5" s="11"/>
      <c r="M5" s="51" t="s">
        <v>50</v>
      </c>
      <c r="N5" s="10"/>
      <c r="O5" s="51" t="s">
        <v>51</v>
      </c>
      <c r="P5" s="11"/>
      <c r="Q5" s="51" t="s">
        <v>52</v>
      </c>
      <c r="R5" s="11"/>
      <c r="S5" s="51" t="s">
        <v>53</v>
      </c>
      <c r="T5" s="11"/>
      <c r="U5" s="51" t="s">
        <v>54</v>
      </c>
      <c r="V5" s="10"/>
      <c r="W5" s="51" t="s">
        <v>55</v>
      </c>
      <c r="Y5" s="51" t="s">
        <v>56</v>
      </c>
      <c r="AA5" s="51" t="s">
        <v>57</v>
      </c>
    </row>
    <row r="6" spans="2:27" s="12" customFormat="1" ht="15" customHeight="1">
      <c r="B6" s="9"/>
      <c r="C6" s="52"/>
      <c r="D6" s="10"/>
      <c r="E6" s="52"/>
      <c r="F6" s="11"/>
      <c r="G6" s="52"/>
      <c r="H6" s="11"/>
      <c r="I6" s="52"/>
      <c r="J6" s="10"/>
      <c r="K6" s="52"/>
      <c r="L6" s="11"/>
      <c r="M6" s="52"/>
      <c r="N6" s="13"/>
      <c r="O6" s="52"/>
      <c r="P6" s="11"/>
      <c r="Q6" s="52"/>
      <c r="R6" s="11"/>
      <c r="S6" s="52"/>
      <c r="T6" s="11"/>
      <c r="U6" s="52"/>
      <c r="V6" s="10"/>
      <c r="W6" s="52"/>
      <c r="Y6" s="52"/>
      <c r="AA6" s="52"/>
    </row>
    <row r="7" spans="1:27" s="12" customFormat="1" ht="15" customHeight="1">
      <c r="A7" s="14"/>
      <c r="B7" s="9"/>
      <c r="C7" s="52"/>
      <c r="D7" s="10"/>
      <c r="E7" s="52"/>
      <c r="F7" s="11"/>
      <c r="G7" s="52"/>
      <c r="H7" s="11"/>
      <c r="I7" s="52"/>
      <c r="J7" s="10"/>
      <c r="K7" s="52"/>
      <c r="L7" s="11"/>
      <c r="M7" s="52"/>
      <c r="N7" s="13"/>
      <c r="O7" s="52"/>
      <c r="P7" s="11"/>
      <c r="Q7" s="52"/>
      <c r="R7" s="11"/>
      <c r="S7" s="52"/>
      <c r="T7" s="11"/>
      <c r="U7" s="52"/>
      <c r="V7" s="10"/>
      <c r="W7" s="52"/>
      <c r="Y7" s="52"/>
      <c r="AA7" s="52"/>
    </row>
    <row r="8" spans="1:27" s="12" customFormat="1" ht="15" customHeight="1">
      <c r="A8" s="14" t="s">
        <v>1</v>
      </c>
      <c r="B8" s="9"/>
      <c r="C8" s="52"/>
      <c r="D8" s="10"/>
      <c r="E8" s="52"/>
      <c r="F8" s="11"/>
      <c r="G8" s="52"/>
      <c r="H8" s="11"/>
      <c r="I8" s="52"/>
      <c r="J8" s="10"/>
      <c r="K8" s="52"/>
      <c r="L8" s="11"/>
      <c r="M8" s="52"/>
      <c r="N8" s="13"/>
      <c r="O8" s="52"/>
      <c r="P8" s="11"/>
      <c r="Q8" s="52"/>
      <c r="R8" s="11"/>
      <c r="S8" s="52"/>
      <c r="T8" s="11"/>
      <c r="U8" s="52"/>
      <c r="V8" s="10"/>
      <c r="W8" s="52"/>
      <c r="Y8" s="52"/>
      <c r="AA8" s="52"/>
    </row>
    <row r="9" spans="1:27" ht="15" customHeight="1">
      <c r="A9" s="15"/>
      <c r="B9" s="15"/>
      <c r="C9" s="16"/>
      <c r="D9" s="17"/>
      <c r="E9" s="16"/>
      <c r="F9" s="18"/>
      <c r="G9" s="16"/>
      <c r="H9" s="18"/>
      <c r="I9" s="16"/>
      <c r="J9" s="17"/>
      <c r="K9" s="16"/>
      <c r="L9" s="18"/>
      <c r="M9" s="16"/>
      <c r="N9" s="16"/>
      <c r="O9" s="18"/>
      <c r="P9" s="18"/>
      <c r="Q9" s="18"/>
      <c r="R9" s="18"/>
      <c r="S9" s="18"/>
      <c r="T9" s="18"/>
      <c r="U9" s="15"/>
      <c r="V9" s="17"/>
      <c r="W9" s="16"/>
      <c r="X9" s="16"/>
      <c r="Y9" s="16"/>
      <c r="Z9" s="16"/>
      <c r="AA9" s="16"/>
    </row>
    <row r="10" ht="15" customHeight="1"/>
    <row r="11" spans="1:27" ht="16.5">
      <c r="A11" s="12" t="s">
        <v>58</v>
      </c>
      <c r="C11" s="8" t="s">
        <v>2</v>
      </c>
      <c r="D11" s="19"/>
      <c r="E11" s="19">
        <v>30</v>
      </c>
      <c r="F11" s="20"/>
      <c r="G11" s="19">
        <f aca="true" t="shared" si="0" ref="G11:G20">100/(1-E11/100)</f>
        <v>142.85714285714286</v>
      </c>
      <c r="H11" s="19"/>
      <c r="I11" s="21">
        <v>100</v>
      </c>
      <c r="J11" s="21"/>
      <c r="K11" s="19"/>
      <c r="L11" s="20"/>
      <c r="M11" s="19">
        <v>48.5</v>
      </c>
      <c r="N11" s="19"/>
      <c r="O11" s="19">
        <v>142.9</v>
      </c>
      <c r="P11" s="19"/>
      <c r="Q11" s="19">
        <f>(O11-100)/O11*100</f>
        <v>30.020993701889438</v>
      </c>
      <c r="R11" s="19"/>
      <c r="S11" s="19">
        <f>+I11*(Q11/(100-Q11))</f>
        <v>42.90000000000001</v>
      </c>
      <c r="T11" s="20"/>
      <c r="U11" s="19">
        <f>+(M11/100)*MAX(I11,O11)-S11</f>
        <v>26.406499999999987</v>
      </c>
      <c r="V11" s="19"/>
      <c r="W11" s="22">
        <f aca="true" t="shared" si="1" ref="W11:W17">(G11-I11+U11)/G11*100</f>
        <v>48.48455</v>
      </c>
      <c r="X11" s="22"/>
      <c r="Y11" s="22">
        <f>((G11-I11)/((G11-I11)+U11))*100</f>
        <v>61.875380920313795</v>
      </c>
      <c r="Z11" s="20"/>
      <c r="AA11" s="22">
        <f>(U11/((G11-I11)+U11))*100</f>
        <v>38.12461907968619</v>
      </c>
    </row>
    <row r="12" spans="1:27" ht="15">
      <c r="A12" s="12" t="s">
        <v>3</v>
      </c>
      <c r="C12" s="8" t="s">
        <v>4</v>
      </c>
      <c r="E12" s="19">
        <v>34</v>
      </c>
      <c r="F12" s="20"/>
      <c r="G12" s="19">
        <f t="shared" si="0"/>
        <v>151.51515151515153</v>
      </c>
      <c r="H12" s="19"/>
      <c r="I12" s="21">
        <v>100</v>
      </c>
      <c r="J12" s="21"/>
      <c r="K12" s="19">
        <v>25</v>
      </c>
      <c r="L12" s="20"/>
      <c r="M12" s="19">
        <v>25</v>
      </c>
      <c r="N12" s="19"/>
      <c r="O12" s="19"/>
      <c r="P12" s="19"/>
      <c r="Q12" s="19"/>
      <c r="R12" s="19"/>
      <c r="S12" s="19"/>
      <c r="T12" s="20"/>
      <c r="U12" s="19">
        <f>+(K12/100)*MAX(I12,O12)-S12</f>
        <v>25</v>
      </c>
      <c r="V12" s="19"/>
      <c r="W12" s="22">
        <f t="shared" si="1"/>
        <v>50.5</v>
      </c>
      <c r="X12" s="20"/>
      <c r="Y12" s="22">
        <f>((G12-I12)/((G12-I12)+U12))*100</f>
        <v>67.32673267326733</v>
      </c>
      <c r="AA12" s="22">
        <f>(U12/((G12-I12)+U12))*100</f>
        <v>32.67326732673267</v>
      </c>
    </row>
    <row r="13" spans="1:27" ht="16.5">
      <c r="A13" s="12" t="s">
        <v>59</v>
      </c>
      <c r="C13" s="8" t="s">
        <v>4</v>
      </c>
      <c r="E13" s="19">
        <f>39*1.03</f>
        <v>40.17</v>
      </c>
      <c r="F13" s="20"/>
      <c r="G13" s="19">
        <f t="shared" si="0"/>
        <v>167.14023065351827</v>
      </c>
      <c r="H13" s="22"/>
      <c r="I13" s="21">
        <v>100</v>
      </c>
      <c r="J13" s="23"/>
      <c r="K13" s="22"/>
      <c r="L13" s="20"/>
      <c r="M13" s="19">
        <v>15</v>
      </c>
      <c r="N13" s="19"/>
      <c r="O13" s="19"/>
      <c r="P13" s="19"/>
      <c r="Q13" s="19"/>
      <c r="R13" s="19"/>
      <c r="S13" s="19"/>
      <c r="T13" s="20"/>
      <c r="U13" s="19">
        <f>+(M13/100)*MAX(I13,O13)-S13</f>
        <v>15</v>
      </c>
      <c r="V13" s="19"/>
      <c r="W13" s="22">
        <f t="shared" si="1"/>
        <v>49.144499999999994</v>
      </c>
      <c r="X13" s="20"/>
      <c r="Y13" s="22">
        <f aca="true" t="shared" si="2" ref="Y13:Y44">((G13-I13)/((G13-I13)+U13))*100</f>
        <v>81.73854653114793</v>
      </c>
      <c r="AA13" s="22">
        <f aca="true" t="shared" si="3" ref="AA13:AA43">(U13/((G13-I13)+U13))*100</f>
        <v>18.261453468852064</v>
      </c>
    </row>
    <row r="14" spans="1:27" ht="15">
      <c r="A14" s="12" t="s">
        <v>5</v>
      </c>
      <c r="C14" s="8" t="s">
        <v>6</v>
      </c>
      <c r="E14" s="19">
        <v>38.02</v>
      </c>
      <c r="F14" s="20"/>
      <c r="G14" s="19">
        <f t="shared" si="0"/>
        <v>161.3423685059697</v>
      </c>
      <c r="H14" s="22"/>
      <c r="I14" s="21">
        <v>100</v>
      </c>
      <c r="J14" s="23"/>
      <c r="K14" s="22"/>
      <c r="L14" s="20"/>
      <c r="M14" s="19">
        <f>29+11.16+6.25</f>
        <v>46.41</v>
      </c>
      <c r="N14" s="19"/>
      <c r="O14" s="19">
        <f>1.25*I14</f>
        <v>125</v>
      </c>
      <c r="P14" s="19"/>
      <c r="Q14" s="19">
        <f>13.33+5.13+0.56*5.13</f>
        <v>21.332800000000002</v>
      </c>
      <c r="R14" s="19"/>
      <c r="S14" s="19">
        <f>+O14*Q14/100</f>
        <v>26.666000000000004</v>
      </c>
      <c r="T14" s="20"/>
      <c r="U14" s="19">
        <f>+(M14/100)*MAX(I14,O14)-S14</f>
        <v>31.346499999999992</v>
      </c>
      <c r="V14" s="19"/>
      <c r="W14" s="22">
        <f t="shared" si="1"/>
        <v>57.448560699999994</v>
      </c>
      <c r="X14" s="20"/>
      <c r="Y14" s="22">
        <f t="shared" si="2"/>
        <v>66.18094437307636</v>
      </c>
      <c r="AA14" s="22">
        <f t="shared" si="3"/>
        <v>33.819055626923635</v>
      </c>
    </row>
    <row r="15" spans="1:28" ht="15">
      <c r="A15" s="12" t="s">
        <v>41</v>
      </c>
      <c r="C15" s="8" t="s">
        <v>2</v>
      </c>
      <c r="E15" s="19">
        <v>16</v>
      </c>
      <c r="F15" s="20"/>
      <c r="G15" s="19">
        <v>119.04761904761905</v>
      </c>
      <c r="H15" s="22"/>
      <c r="I15" s="21">
        <v>100</v>
      </c>
      <c r="J15" s="23"/>
      <c r="K15" s="22" t="s">
        <v>34</v>
      </c>
      <c r="L15" s="20"/>
      <c r="M15" s="19">
        <v>43</v>
      </c>
      <c r="N15" s="19"/>
      <c r="O15" s="19">
        <v>119.04761904761905</v>
      </c>
      <c r="P15" s="19"/>
      <c r="Q15" s="19">
        <v>16</v>
      </c>
      <c r="R15" s="19"/>
      <c r="S15" s="19">
        <v>19.047619047619047</v>
      </c>
      <c r="T15" s="20" t="s">
        <v>40</v>
      </c>
      <c r="U15" s="19">
        <v>32.14285714285714</v>
      </c>
      <c r="V15" s="19"/>
      <c r="W15" s="22">
        <v>43</v>
      </c>
      <c r="X15" s="20"/>
      <c r="Y15" s="22">
        <v>37.2093023255814</v>
      </c>
      <c r="AA15" s="22">
        <v>62.790697674418595</v>
      </c>
      <c r="AB15" s="8"/>
    </row>
    <row r="16" spans="1:27" ht="15">
      <c r="A16" s="12" t="s">
        <v>7</v>
      </c>
      <c r="C16" s="8" t="s">
        <v>4</v>
      </c>
      <c r="E16" s="19">
        <v>31</v>
      </c>
      <c r="F16" s="20"/>
      <c r="G16" s="19">
        <f t="shared" si="0"/>
        <v>144.92753623188406</v>
      </c>
      <c r="H16" s="22"/>
      <c r="I16" s="21">
        <v>100</v>
      </c>
      <c r="J16" s="23"/>
      <c r="K16" s="22">
        <v>15</v>
      </c>
      <c r="L16" s="20"/>
      <c r="M16" s="19">
        <v>15</v>
      </c>
      <c r="N16" s="19"/>
      <c r="O16" s="19"/>
      <c r="P16" s="19"/>
      <c r="Q16" s="19"/>
      <c r="R16" s="19"/>
      <c r="S16" s="19"/>
      <c r="T16" s="20"/>
      <c r="U16" s="19">
        <f aca="true" t="shared" si="4" ref="U16:U44">+(M16/100)*MAX(I16,O16)-S16</f>
        <v>15</v>
      </c>
      <c r="V16" s="19"/>
      <c r="W16" s="22">
        <f t="shared" si="1"/>
        <v>41.35</v>
      </c>
      <c r="X16" s="20"/>
      <c r="Y16" s="22">
        <f t="shared" si="2"/>
        <v>74.96977025392987</v>
      </c>
      <c r="AA16" s="22">
        <f t="shared" si="3"/>
        <v>25.03022974607013</v>
      </c>
    </row>
    <row r="17" spans="1:27" ht="15">
      <c r="A17" s="12" t="s">
        <v>8</v>
      </c>
      <c r="C17" s="8" t="s">
        <v>4</v>
      </c>
      <c r="E17" s="19">
        <v>30</v>
      </c>
      <c r="F17" s="20"/>
      <c r="G17" s="19">
        <f t="shared" si="0"/>
        <v>142.85714285714286</v>
      </c>
      <c r="H17" s="22"/>
      <c r="I17" s="21">
        <v>100</v>
      </c>
      <c r="J17" s="23"/>
      <c r="K17" s="22"/>
      <c r="L17" s="20"/>
      <c r="M17" s="19">
        <v>43</v>
      </c>
      <c r="N17" s="19"/>
      <c r="O17" s="19"/>
      <c r="P17" s="19"/>
      <c r="Q17" s="19"/>
      <c r="R17" s="19"/>
      <c r="S17" s="19"/>
      <c r="T17" s="20"/>
      <c r="U17" s="19">
        <f t="shared" si="4"/>
        <v>43</v>
      </c>
      <c r="V17" s="19"/>
      <c r="W17" s="22">
        <f t="shared" si="1"/>
        <v>60.099999999999994</v>
      </c>
      <c r="X17" s="20"/>
      <c r="Y17" s="22">
        <f t="shared" si="2"/>
        <v>49.91680532445923</v>
      </c>
      <c r="AA17" s="22">
        <f t="shared" si="3"/>
        <v>50.08319467554077</v>
      </c>
    </row>
    <row r="18" spans="1:27" ht="15">
      <c r="A18" s="12" t="s">
        <v>44</v>
      </c>
      <c r="C18" s="8" t="s">
        <v>30</v>
      </c>
      <c r="E18" s="8">
        <v>26</v>
      </c>
      <c r="G18" s="19">
        <v>135.13513513513513</v>
      </c>
      <c r="H18" s="24"/>
      <c r="I18" s="21">
        <v>100</v>
      </c>
      <c r="J18" s="23"/>
      <c r="K18" s="24" t="s">
        <v>34</v>
      </c>
      <c r="M18" s="8">
        <v>0</v>
      </c>
      <c r="N18" s="8"/>
      <c r="O18" s="8"/>
      <c r="P18" s="8"/>
      <c r="Q18" s="8"/>
      <c r="R18" s="8"/>
      <c r="S18" s="8"/>
      <c r="U18" s="19">
        <v>0</v>
      </c>
      <c r="V18" s="19"/>
      <c r="W18" s="22">
        <v>25.999999999999996</v>
      </c>
      <c r="X18" s="20"/>
      <c r="Y18" s="22">
        <v>100</v>
      </c>
      <c r="Z18" s="20"/>
      <c r="AA18" s="22">
        <v>0</v>
      </c>
    </row>
    <row r="19" spans="1:27" ht="16.5">
      <c r="A19" s="12" t="s">
        <v>60</v>
      </c>
      <c r="C19" s="8" t="s">
        <v>2</v>
      </c>
      <c r="E19" s="19">
        <v>29</v>
      </c>
      <c r="F19" s="20"/>
      <c r="G19" s="19">
        <f t="shared" si="0"/>
        <v>140.84507042253523</v>
      </c>
      <c r="H19" s="22"/>
      <c r="I19" s="21">
        <f>G19-(E19*G19/100)</f>
        <v>100.00000000000001</v>
      </c>
      <c r="J19" s="23"/>
      <c r="K19" s="22"/>
      <c r="L19" s="20"/>
      <c r="M19" s="19">
        <v>29</v>
      </c>
      <c r="N19" s="19"/>
      <c r="O19" s="19">
        <f>100*(1+0.408)</f>
        <v>140.79999999999998</v>
      </c>
      <c r="P19" s="19"/>
      <c r="Q19" s="19">
        <f>(O19-100)/O19*100</f>
        <v>28.97727272727272</v>
      </c>
      <c r="R19" s="19"/>
      <c r="S19" s="19">
        <f>I19*(Q19/(100-Q19))</f>
        <v>40.79999999999999</v>
      </c>
      <c r="T19" s="20"/>
      <c r="U19" s="19">
        <f t="shared" si="4"/>
        <v>0.03200000000000358</v>
      </c>
      <c r="V19" s="19"/>
      <c r="W19" s="22">
        <f>((G19-I19+U19)/G19)*100</f>
        <v>29.022720000000003</v>
      </c>
      <c r="X19" s="20"/>
      <c r="Y19" s="22">
        <v>100</v>
      </c>
      <c r="AA19" s="22">
        <v>0</v>
      </c>
    </row>
    <row r="20" spans="1:27" ht="16.5">
      <c r="A20" s="12" t="s">
        <v>61</v>
      </c>
      <c r="C20" s="8" t="s">
        <v>2</v>
      </c>
      <c r="E20" s="19">
        <v>35.43</v>
      </c>
      <c r="F20" s="20"/>
      <c r="G20" s="19">
        <f t="shared" si="0"/>
        <v>154.87068297971194</v>
      </c>
      <c r="H20" s="22"/>
      <c r="I20" s="21">
        <v>100</v>
      </c>
      <c r="J20" s="23"/>
      <c r="K20" s="22"/>
      <c r="L20" s="20"/>
      <c r="M20" s="19">
        <v>57.05</v>
      </c>
      <c r="N20" s="19"/>
      <c r="O20" s="19">
        <v>150</v>
      </c>
      <c r="P20" s="19"/>
      <c r="Q20" s="19">
        <f>(O20-100)/O20*100</f>
        <v>33.33333333333333</v>
      </c>
      <c r="R20" s="19"/>
      <c r="S20" s="19">
        <f>I20*(Q20/(100-Q20))</f>
        <v>49.999999999999986</v>
      </c>
      <c r="T20" s="20"/>
      <c r="U20" s="19">
        <f t="shared" si="4"/>
        <v>35.57500000000002</v>
      </c>
      <c r="V20" s="19"/>
      <c r="W20" s="22">
        <f>(G20-I20+U20)/G20*100</f>
        <v>58.40077750000001</v>
      </c>
      <c r="X20" s="20"/>
      <c r="Y20" s="22">
        <f t="shared" si="2"/>
        <v>60.66700053779249</v>
      </c>
      <c r="AA20" s="22">
        <f t="shared" si="3"/>
        <v>39.33299946220751</v>
      </c>
    </row>
    <row r="21" spans="1:27" ht="15">
      <c r="A21" s="12" t="s">
        <v>9</v>
      </c>
      <c r="C21" s="8" t="s">
        <v>25</v>
      </c>
      <c r="E21" s="19">
        <v>38.9</v>
      </c>
      <c r="F21" s="20"/>
      <c r="G21" s="19">
        <f>100/(1-E21/100)</f>
        <v>163.66612111292963</v>
      </c>
      <c r="H21" s="22"/>
      <c r="I21" s="21">
        <v>100</v>
      </c>
      <c r="J21" s="23"/>
      <c r="K21" s="22"/>
      <c r="L21" s="20"/>
      <c r="M21" s="19">
        <f>48.5*1.055</f>
        <v>51.1675</v>
      </c>
      <c r="N21" s="19"/>
      <c r="O21" s="19"/>
      <c r="P21" s="19"/>
      <c r="Q21" s="19"/>
      <c r="R21" s="19"/>
      <c r="S21" s="19"/>
      <c r="T21" s="20"/>
      <c r="U21" s="22">
        <f>I21/2*M21/100</f>
        <v>25.58375</v>
      </c>
      <c r="V21" s="19"/>
      <c r="W21" s="19">
        <f>(U21+(G21-I21))/G21*100</f>
        <v>54.53167125</v>
      </c>
      <c r="X21" s="20"/>
      <c r="Y21" s="22">
        <f t="shared" si="2"/>
        <v>71.33469249761899</v>
      </c>
      <c r="AA21" s="22">
        <f t="shared" si="3"/>
        <v>28.66530750238101</v>
      </c>
    </row>
    <row r="22" spans="1:27" ht="15">
      <c r="A22" s="12" t="s">
        <v>10</v>
      </c>
      <c r="C22" s="8" t="s">
        <v>30</v>
      </c>
      <c r="E22" s="19">
        <v>35</v>
      </c>
      <c r="F22" s="20"/>
      <c r="G22" s="19">
        <f>100/(1-E22/100)</f>
        <v>153.84615384615384</v>
      </c>
      <c r="H22" s="22"/>
      <c r="I22" s="21">
        <v>100</v>
      </c>
      <c r="J22" s="23"/>
      <c r="K22" s="22"/>
      <c r="L22" s="20"/>
      <c r="M22" s="19">
        <v>0</v>
      </c>
      <c r="N22" s="19"/>
      <c r="O22" s="19"/>
      <c r="P22" s="19"/>
      <c r="Q22" s="19"/>
      <c r="R22" s="19"/>
      <c r="S22" s="19"/>
      <c r="T22" s="20"/>
      <c r="U22" s="19">
        <f t="shared" si="4"/>
        <v>0</v>
      </c>
      <c r="V22" s="19"/>
      <c r="W22" s="19">
        <f>(U22+(G22-I22))/G22*100</f>
        <v>35</v>
      </c>
      <c r="X22" s="20"/>
      <c r="Y22" s="22">
        <f t="shared" si="2"/>
        <v>100</v>
      </c>
      <c r="AA22" s="22">
        <f t="shared" si="3"/>
        <v>0</v>
      </c>
    </row>
    <row r="23" spans="1:27" ht="16.5">
      <c r="A23" s="12" t="s">
        <v>62</v>
      </c>
      <c r="C23" s="8" t="s">
        <v>27</v>
      </c>
      <c r="E23" s="19">
        <v>18</v>
      </c>
      <c r="F23" s="20"/>
      <c r="G23" s="19">
        <f>100/(1-E23/100)</f>
        <v>121.95121951219511</v>
      </c>
      <c r="H23" s="22"/>
      <c r="I23" s="21">
        <v>100</v>
      </c>
      <c r="J23" s="23"/>
      <c r="K23" s="22"/>
      <c r="L23" s="20"/>
      <c r="M23" s="19">
        <v>35</v>
      </c>
      <c r="N23" s="19"/>
      <c r="O23" s="19"/>
      <c r="P23" s="19"/>
      <c r="Q23" s="19"/>
      <c r="R23" s="19"/>
      <c r="S23" s="19"/>
      <c r="T23" s="20"/>
      <c r="U23" s="19">
        <f>+(M23/100)*MAX(I23,O23)-S23</f>
        <v>35</v>
      </c>
      <c r="V23" s="19"/>
      <c r="W23" s="22">
        <f>(G23-I23+U23)/G23*100</f>
        <v>46.699999999999996</v>
      </c>
      <c r="X23" s="20"/>
      <c r="Y23" s="22">
        <f>((G23-I23)/((G23-I23)+U23))*100</f>
        <v>38.543897216274075</v>
      </c>
      <c r="AA23" s="22">
        <f>(U23/((G23-I23)+U23))*100</f>
        <v>61.45610278372592</v>
      </c>
    </row>
    <row r="24" spans="1:27" ht="15">
      <c r="A24" s="12" t="s">
        <v>11</v>
      </c>
      <c r="C24" s="8" t="s">
        <v>4</v>
      </c>
      <c r="E24" s="19">
        <v>18</v>
      </c>
      <c r="F24" s="20"/>
      <c r="G24" s="19">
        <f>100/(1-E24/100)</f>
        <v>121.95121951219511</v>
      </c>
      <c r="H24" s="19"/>
      <c r="I24" s="21">
        <v>100</v>
      </c>
      <c r="J24" s="21"/>
      <c r="K24" s="19"/>
      <c r="L24" s="20"/>
      <c r="M24" s="19">
        <v>10</v>
      </c>
      <c r="N24" s="19"/>
      <c r="O24" s="19"/>
      <c r="P24" s="19"/>
      <c r="Q24" s="19"/>
      <c r="R24" s="19"/>
      <c r="S24" s="19"/>
      <c r="T24" s="20"/>
      <c r="U24" s="19">
        <f t="shared" si="4"/>
        <v>10</v>
      </c>
      <c r="V24" s="19"/>
      <c r="W24" s="19">
        <f aca="true" t="shared" si="5" ref="W24:W43">(U24+(G24-I24))/G24*100</f>
        <v>26.19999999999999</v>
      </c>
      <c r="X24" s="20"/>
      <c r="Y24" s="22">
        <f t="shared" si="2"/>
        <v>68.70229007633587</v>
      </c>
      <c r="AA24" s="22">
        <f t="shared" si="3"/>
        <v>31.297709923664137</v>
      </c>
    </row>
    <row r="25" spans="1:27" ht="15">
      <c r="A25" s="12" t="s">
        <v>12</v>
      </c>
      <c r="C25" s="8" t="s">
        <v>4</v>
      </c>
      <c r="E25" s="19">
        <v>16</v>
      </c>
      <c r="F25" s="20"/>
      <c r="G25" s="19">
        <f aca="true" t="shared" si="6" ref="G25:G31">100/(1-E25/100)</f>
        <v>119.04761904761905</v>
      </c>
      <c r="H25" s="19"/>
      <c r="I25" s="21">
        <v>100</v>
      </c>
      <c r="J25" s="21"/>
      <c r="K25" s="19"/>
      <c r="L25" s="20"/>
      <c r="M25" s="19">
        <v>42</v>
      </c>
      <c r="N25" s="19"/>
      <c r="O25" s="19"/>
      <c r="P25" s="19"/>
      <c r="Q25" s="19"/>
      <c r="R25" s="19"/>
      <c r="S25" s="19"/>
      <c r="T25" s="20"/>
      <c r="U25" s="19">
        <f t="shared" si="4"/>
        <v>42</v>
      </c>
      <c r="V25" s="19"/>
      <c r="W25" s="19">
        <f t="shared" si="5"/>
        <v>51.28</v>
      </c>
      <c r="X25" s="20"/>
      <c r="Y25" s="22">
        <f t="shared" si="2"/>
        <v>31.201248049921997</v>
      </c>
      <c r="AA25" s="22">
        <f t="shared" si="3"/>
        <v>68.798751950078</v>
      </c>
    </row>
    <row r="26" spans="1:27" ht="15">
      <c r="A26" s="12" t="s">
        <v>43</v>
      </c>
      <c r="C26" s="8" t="s">
        <v>29</v>
      </c>
      <c r="E26" s="8">
        <v>36</v>
      </c>
      <c r="F26" s="20"/>
      <c r="G26" s="19">
        <v>156.25</v>
      </c>
      <c r="H26" s="19"/>
      <c r="I26" s="21">
        <v>100</v>
      </c>
      <c r="J26" s="21"/>
      <c r="K26" s="19"/>
      <c r="L26" s="20"/>
      <c r="M26" s="19">
        <v>25</v>
      </c>
      <c r="N26" s="19"/>
      <c r="O26" s="19"/>
      <c r="P26" s="19"/>
      <c r="Q26" s="19"/>
      <c r="R26" s="19"/>
      <c r="S26" s="19"/>
      <c r="T26" s="20"/>
      <c r="U26" s="19">
        <v>25</v>
      </c>
      <c r="V26" s="19"/>
      <c r="W26" s="19">
        <v>52</v>
      </c>
      <c r="X26" s="20"/>
      <c r="Y26" s="22">
        <v>69.23076923076923</v>
      </c>
      <c r="Z26" s="20"/>
      <c r="AA26" s="22">
        <v>30.76923076923077</v>
      </c>
    </row>
    <row r="27" spans="1:27" ht="15">
      <c r="A27" s="12" t="s">
        <v>13</v>
      </c>
      <c r="C27" s="8" t="s">
        <v>39</v>
      </c>
      <c r="E27" s="19">
        <v>36</v>
      </c>
      <c r="F27" s="20"/>
      <c r="G27" s="19">
        <f t="shared" si="6"/>
        <v>156.25</v>
      </c>
      <c r="H27" s="22"/>
      <c r="I27" s="21">
        <v>100</v>
      </c>
      <c r="J27" s="23"/>
      <c r="K27" s="22">
        <v>12.5</v>
      </c>
      <c r="L27" s="20"/>
      <c r="M27" s="19">
        <v>12.5</v>
      </c>
      <c r="N27" s="19"/>
      <c r="O27" s="19" t="s">
        <v>40</v>
      </c>
      <c r="P27" s="19"/>
      <c r="Q27" s="19" t="s">
        <v>40</v>
      </c>
      <c r="R27" s="19"/>
      <c r="S27" s="19" t="s">
        <v>40</v>
      </c>
      <c r="T27" s="20"/>
      <c r="U27" s="19">
        <v>12.5</v>
      </c>
      <c r="V27" s="19"/>
      <c r="W27" s="19">
        <f t="shared" si="5"/>
        <v>44</v>
      </c>
      <c r="X27" s="20"/>
      <c r="Y27" s="22">
        <f t="shared" si="2"/>
        <v>81.81818181818183</v>
      </c>
      <c r="AA27" s="22">
        <f t="shared" si="3"/>
        <v>18.181818181818183</v>
      </c>
    </row>
    <row r="28" spans="1:27" s="27" customFormat="1" ht="15">
      <c r="A28" s="12" t="s">
        <v>14</v>
      </c>
      <c r="B28" s="2"/>
      <c r="C28" s="8" t="s">
        <v>4</v>
      </c>
      <c r="D28" s="2"/>
      <c r="E28" s="19">
        <v>40.87</v>
      </c>
      <c r="F28" s="2"/>
      <c r="G28" s="19">
        <f t="shared" si="6"/>
        <v>169.1188905800778</v>
      </c>
      <c r="H28" s="8"/>
      <c r="I28" s="21">
        <v>100</v>
      </c>
      <c r="J28" s="21"/>
      <c r="K28" s="8"/>
      <c r="M28" s="19">
        <v>50</v>
      </c>
      <c r="N28" s="19"/>
      <c r="O28" s="19"/>
      <c r="P28" s="8"/>
      <c r="Q28" s="19"/>
      <c r="R28" s="19"/>
      <c r="S28" s="19">
        <v>6.4</v>
      </c>
      <c r="U28" s="19">
        <f>+(M28/100)*MAX(I28,O28)-S28</f>
        <v>43.6</v>
      </c>
      <c r="V28" s="8"/>
      <c r="W28" s="19">
        <f t="shared" si="5"/>
        <v>66.65068</v>
      </c>
      <c r="X28" s="30"/>
      <c r="Y28" s="22">
        <f>((G28-I28)/((G28-I28)+U28))*100</f>
        <v>61.31970446513074</v>
      </c>
      <c r="Z28" s="2"/>
      <c r="AA28" s="22">
        <f>(U28/((G28-I28)+U28))*100</f>
        <v>38.680295534869266</v>
      </c>
    </row>
    <row r="29" spans="1:29" s="27" customFormat="1" ht="15">
      <c r="A29" s="12" t="s">
        <v>15</v>
      </c>
      <c r="B29" s="2"/>
      <c r="C29" s="8" t="s">
        <v>6</v>
      </c>
      <c r="D29" s="2"/>
      <c r="E29" s="19">
        <v>29.7</v>
      </c>
      <c r="F29" s="2"/>
      <c r="G29" s="19">
        <f t="shared" si="6"/>
        <v>142.24751066856328</v>
      </c>
      <c r="H29" s="8"/>
      <c r="I29" s="21">
        <v>100</v>
      </c>
      <c r="J29" s="21"/>
      <c r="K29" s="8"/>
      <c r="M29" s="19">
        <v>39.6</v>
      </c>
      <c r="N29" s="19"/>
      <c r="O29" s="19">
        <v>119</v>
      </c>
      <c r="P29" s="8"/>
      <c r="Q29" s="19">
        <f>(O29-100)/O29*100</f>
        <v>15.966386554621847</v>
      </c>
      <c r="R29" s="19"/>
      <c r="S29" s="19">
        <f>I29*(Q29/(100-Q29))</f>
        <v>18.999999999999996</v>
      </c>
      <c r="U29" s="19">
        <f t="shared" si="4"/>
        <v>28.124000000000006</v>
      </c>
      <c r="V29" s="8"/>
      <c r="W29" s="19">
        <f t="shared" si="5"/>
        <v>49.471171999999996</v>
      </c>
      <c r="X29" s="30"/>
      <c r="Y29" s="22">
        <f>((G29-I29)/((G29-I29)+U29))*100</f>
        <v>60.034963392417694</v>
      </c>
      <c r="Z29" s="2"/>
      <c r="AA29" s="22">
        <f>(U29/((G29-I29)+U29))*100</f>
        <v>39.965036607582306</v>
      </c>
      <c r="AB29" s="2"/>
      <c r="AC29" s="2"/>
    </row>
    <row r="30" spans="1:27" ht="15">
      <c r="A30" s="12" t="s">
        <v>16</v>
      </c>
      <c r="C30" s="8" t="s">
        <v>25</v>
      </c>
      <c r="E30" s="19">
        <v>30.4</v>
      </c>
      <c r="F30" s="20"/>
      <c r="G30" s="19">
        <f t="shared" si="6"/>
        <v>143.67816091954023</v>
      </c>
      <c r="H30" s="22"/>
      <c r="I30" s="21">
        <v>100</v>
      </c>
      <c r="J30" s="23"/>
      <c r="K30" s="22"/>
      <c r="L30" s="20"/>
      <c r="M30" s="19">
        <f>38*1.025</f>
        <v>38.949999999999996</v>
      </c>
      <c r="N30" s="19"/>
      <c r="O30" s="19"/>
      <c r="P30" s="19"/>
      <c r="Q30" s="19"/>
      <c r="R30" s="19"/>
      <c r="S30" s="19"/>
      <c r="T30" s="20"/>
      <c r="U30" s="19">
        <f>I30/2*M30/100</f>
        <v>19.474999999999998</v>
      </c>
      <c r="V30" s="19"/>
      <c r="W30" s="19">
        <f t="shared" si="5"/>
        <v>43.9546</v>
      </c>
      <c r="X30" s="20"/>
      <c r="Y30" s="22">
        <f>((G30-I30)/((G30-I30)+U30))*100</f>
        <v>69.16227198063457</v>
      </c>
      <c r="AA30" s="22">
        <f>(U30/((G30-I30)+U30))*100</f>
        <v>30.837728019365436</v>
      </c>
    </row>
    <row r="31" spans="1:27" ht="15">
      <c r="A31" s="12" t="s">
        <v>17</v>
      </c>
      <c r="C31" s="8" t="s">
        <v>2</v>
      </c>
      <c r="E31" s="19">
        <v>35</v>
      </c>
      <c r="F31" s="20"/>
      <c r="G31" s="19">
        <f t="shared" si="6"/>
        <v>153.84615384615384</v>
      </c>
      <c r="H31" s="19"/>
      <c r="I31" s="21">
        <v>100</v>
      </c>
      <c r="J31" s="21"/>
      <c r="K31" s="19"/>
      <c r="L31" s="20"/>
      <c r="M31" s="19">
        <v>35</v>
      </c>
      <c r="N31" s="19"/>
      <c r="O31" s="19">
        <f>100/(1-M31/100)</f>
        <v>153.84615384615384</v>
      </c>
      <c r="P31" s="19"/>
      <c r="Q31" s="19">
        <f>(O31-100)/O31*100</f>
        <v>35</v>
      </c>
      <c r="R31" s="19"/>
      <c r="S31" s="19">
        <f>+I31*(Q31/(100-Q31))</f>
        <v>53.84615384615385</v>
      </c>
      <c r="T31" s="20"/>
      <c r="U31" s="19">
        <f t="shared" si="4"/>
        <v>0</v>
      </c>
      <c r="V31" s="19"/>
      <c r="W31" s="19">
        <f t="shared" si="5"/>
        <v>35</v>
      </c>
      <c r="X31" s="20"/>
      <c r="Y31" s="22">
        <f t="shared" si="2"/>
        <v>100</v>
      </c>
      <c r="AA31" s="22">
        <f t="shared" si="3"/>
        <v>0</v>
      </c>
    </row>
    <row r="32" spans="1:27" ht="15">
      <c r="A32" s="12" t="s">
        <v>18</v>
      </c>
      <c r="C32" s="8" t="s">
        <v>4</v>
      </c>
      <c r="E32" s="19">
        <v>34.5</v>
      </c>
      <c r="F32" s="20"/>
      <c r="G32" s="19">
        <f aca="true" t="shared" si="7" ref="G32:G40">100/(1-E32/100)</f>
        <v>152.67175572519082</v>
      </c>
      <c r="H32" s="19"/>
      <c r="I32" s="21">
        <v>100</v>
      </c>
      <c r="J32" s="21"/>
      <c r="K32" s="19"/>
      <c r="L32" s="20"/>
      <c r="M32" s="19">
        <v>25</v>
      </c>
      <c r="N32" s="19"/>
      <c r="O32" s="19"/>
      <c r="P32" s="19"/>
      <c r="Q32" s="19"/>
      <c r="R32" s="19"/>
      <c r="S32" s="19"/>
      <c r="T32" s="20"/>
      <c r="U32" s="19">
        <f t="shared" si="4"/>
        <v>25</v>
      </c>
      <c r="V32" s="19"/>
      <c r="W32" s="19">
        <f t="shared" si="5"/>
        <v>50.87499999999999</v>
      </c>
      <c r="X32" s="20"/>
      <c r="Y32" s="22">
        <f t="shared" si="2"/>
        <v>67.81326781326781</v>
      </c>
      <c r="AA32" s="22">
        <f t="shared" si="3"/>
        <v>32.18673218673219</v>
      </c>
    </row>
    <row r="33" spans="1:27" ht="16.5">
      <c r="A33" s="12" t="s">
        <v>63</v>
      </c>
      <c r="C33" s="8" t="s">
        <v>2</v>
      </c>
      <c r="E33" s="19">
        <v>33</v>
      </c>
      <c r="F33" s="20"/>
      <c r="G33" s="19">
        <f t="shared" si="7"/>
        <v>149.2537313432836</v>
      </c>
      <c r="H33" s="19"/>
      <c r="I33" s="21">
        <v>100</v>
      </c>
      <c r="J33" s="21"/>
      <c r="K33" s="19"/>
      <c r="L33" s="20"/>
      <c r="M33" s="19">
        <v>39</v>
      </c>
      <c r="N33" s="19"/>
      <c r="O33" s="19">
        <v>149.3</v>
      </c>
      <c r="P33" s="19"/>
      <c r="Q33" s="19">
        <f>(O33-100)/O33*100</f>
        <v>33.02076356329538</v>
      </c>
      <c r="R33" s="19"/>
      <c r="S33" s="19">
        <f>+I33*(Q33/(100-Q33))</f>
        <v>49.30000000000002</v>
      </c>
      <c r="T33" s="20"/>
      <c r="U33" s="19">
        <f t="shared" si="4"/>
        <v>8.926999999999985</v>
      </c>
      <c r="V33" s="19"/>
      <c r="W33" s="19">
        <f t="shared" si="5"/>
        <v>38.981089999999995</v>
      </c>
      <c r="X33" s="20"/>
      <c r="Y33" s="22">
        <f t="shared" si="2"/>
        <v>84.65643213157972</v>
      </c>
      <c r="AA33" s="22">
        <f t="shared" si="3"/>
        <v>15.34356786842028</v>
      </c>
    </row>
    <row r="34" spans="1:27" ht="15">
      <c r="A34" s="12" t="s">
        <v>19</v>
      </c>
      <c r="C34" s="8" t="s">
        <v>2</v>
      </c>
      <c r="E34" s="19">
        <v>28</v>
      </c>
      <c r="F34" s="20"/>
      <c r="G34" s="19">
        <f t="shared" si="7"/>
        <v>138.88888888888889</v>
      </c>
      <c r="H34" s="19"/>
      <c r="I34" s="21">
        <v>100</v>
      </c>
      <c r="J34" s="21"/>
      <c r="K34" s="19"/>
      <c r="L34" s="20"/>
      <c r="M34" s="19">
        <v>28</v>
      </c>
      <c r="N34" s="19"/>
      <c r="O34" s="19">
        <v>138.9</v>
      </c>
      <c r="P34" s="19"/>
      <c r="Q34" s="19">
        <f>(O34-100)/O34*100</f>
        <v>28.005759539236863</v>
      </c>
      <c r="R34" s="19"/>
      <c r="S34" s="19">
        <f>+I34*(Q34/(100-Q34))</f>
        <v>38.9</v>
      </c>
      <c r="T34" s="20"/>
      <c r="U34" s="19">
        <f t="shared" si="4"/>
        <v>-0.007999999999995566</v>
      </c>
      <c r="V34" s="19"/>
      <c r="W34" s="19">
        <f t="shared" si="5"/>
        <v>27.994240000000005</v>
      </c>
      <c r="X34" s="20"/>
      <c r="Y34" s="22">
        <f t="shared" si="2"/>
        <v>100.02057566127888</v>
      </c>
      <c r="AA34" s="22">
        <f t="shared" si="3"/>
        <v>-0.020575661278880254</v>
      </c>
    </row>
    <row r="35" spans="1:27" ht="15">
      <c r="A35" s="12" t="s">
        <v>36</v>
      </c>
      <c r="C35" s="8" t="s">
        <v>28</v>
      </c>
      <c r="E35" s="19">
        <v>28</v>
      </c>
      <c r="F35" s="20"/>
      <c r="G35" s="19">
        <f t="shared" si="7"/>
        <v>138.88888888888889</v>
      </c>
      <c r="H35" s="22"/>
      <c r="I35" s="21">
        <v>100</v>
      </c>
      <c r="J35" s="23"/>
      <c r="K35" s="19">
        <v>15</v>
      </c>
      <c r="L35" s="19">
        <v>15</v>
      </c>
      <c r="M35" s="19">
        <v>15</v>
      </c>
      <c r="N35" s="19"/>
      <c r="O35" s="19"/>
      <c r="P35" s="19"/>
      <c r="Q35" s="19"/>
      <c r="R35" s="19"/>
      <c r="S35" s="19"/>
      <c r="T35" s="20"/>
      <c r="U35" s="19">
        <f t="shared" si="4"/>
        <v>15</v>
      </c>
      <c r="V35" s="19"/>
      <c r="W35" s="19">
        <f t="shared" si="5"/>
        <v>38.800000000000004</v>
      </c>
      <c r="X35" s="20"/>
      <c r="Y35" s="22">
        <f t="shared" si="2"/>
        <v>72.16494845360825</v>
      </c>
      <c r="AA35" s="22">
        <f t="shared" si="3"/>
        <v>27.835051546391753</v>
      </c>
    </row>
    <row r="36" spans="1:27" ht="15">
      <c r="A36" s="12" t="s">
        <v>20</v>
      </c>
      <c r="C36" s="8" t="s">
        <v>25</v>
      </c>
      <c r="E36" s="19">
        <v>33</v>
      </c>
      <c r="F36" s="20"/>
      <c r="G36" s="19">
        <f t="shared" si="7"/>
        <v>149.2537313432836</v>
      </c>
      <c r="H36" s="19"/>
      <c r="I36" s="21">
        <v>100</v>
      </c>
      <c r="J36" s="21"/>
      <c r="K36" s="19"/>
      <c r="L36" s="20"/>
      <c r="M36" s="19">
        <v>40</v>
      </c>
      <c r="N36" s="19"/>
      <c r="O36" s="19"/>
      <c r="P36" s="19"/>
      <c r="Q36" s="19"/>
      <c r="R36" s="19"/>
      <c r="S36" s="19"/>
      <c r="T36" s="20"/>
      <c r="U36" s="19">
        <f>I36/2*M36/100</f>
        <v>20</v>
      </c>
      <c r="V36" s="19"/>
      <c r="W36" s="19">
        <f t="shared" si="5"/>
        <v>46.400000000000006</v>
      </c>
      <c r="X36" s="20"/>
      <c r="Y36" s="22">
        <f t="shared" si="2"/>
        <v>71.12068965517241</v>
      </c>
      <c r="AA36" s="22">
        <f t="shared" si="3"/>
        <v>28.87931034482758</v>
      </c>
    </row>
    <row r="37" spans="1:27" ht="15">
      <c r="A37" s="12" t="s">
        <v>21</v>
      </c>
      <c r="C37" s="8" t="s">
        <v>4</v>
      </c>
      <c r="E37" s="19">
        <v>25</v>
      </c>
      <c r="F37" s="20"/>
      <c r="G37" s="19">
        <f t="shared" si="7"/>
        <v>133.33333333333334</v>
      </c>
      <c r="H37" s="22"/>
      <c r="I37" s="21">
        <v>100</v>
      </c>
      <c r="J37" s="23"/>
      <c r="K37" s="22">
        <v>15</v>
      </c>
      <c r="L37" s="20"/>
      <c r="M37" s="19">
        <v>15</v>
      </c>
      <c r="N37" s="19"/>
      <c r="O37" s="19"/>
      <c r="P37" s="19"/>
      <c r="Q37" s="19"/>
      <c r="R37" s="19"/>
      <c r="S37" s="19"/>
      <c r="T37" s="20"/>
      <c r="U37" s="19">
        <f t="shared" si="4"/>
        <v>15</v>
      </c>
      <c r="V37" s="19"/>
      <c r="W37" s="19">
        <f t="shared" si="5"/>
        <v>36.25000000000001</v>
      </c>
      <c r="X37" s="20"/>
      <c r="Y37" s="22">
        <f t="shared" si="2"/>
        <v>68.96551724137932</v>
      </c>
      <c r="AA37" s="22">
        <f t="shared" si="3"/>
        <v>31.034482758620683</v>
      </c>
    </row>
    <row r="38" spans="1:27" ht="15">
      <c r="A38" s="12" t="s">
        <v>42</v>
      </c>
      <c r="C38" s="8" t="s">
        <v>25</v>
      </c>
      <c r="E38" s="8">
        <v>25</v>
      </c>
      <c r="G38" s="19">
        <v>133.33333333333334</v>
      </c>
      <c r="H38" s="24"/>
      <c r="I38" s="21">
        <v>100</v>
      </c>
      <c r="J38" s="23"/>
      <c r="K38" s="24"/>
      <c r="M38" s="19">
        <v>50</v>
      </c>
      <c r="N38" s="19"/>
      <c r="O38" s="19"/>
      <c r="P38" s="19"/>
      <c r="Q38" s="19"/>
      <c r="R38" s="19"/>
      <c r="S38" s="19"/>
      <c r="T38" s="20"/>
      <c r="U38" s="19">
        <v>30</v>
      </c>
      <c r="V38" s="19"/>
      <c r="W38" s="19">
        <v>47.5</v>
      </c>
      <c r="X38" s="20"/>
      <c r="Y38" s="22">
        <v>52.63157894736843</v>
      </c>
      <c r="Z38" s="20"/>
      <c r="AA38" s="22">
        <v>47.36842105263157</v>
      </c>
    </row>
    <row r="39" spans="1:27" ht="15">
      <c r="A39" s="12" t="s">
        <v>22</v>
      </c>
      <c r="C39" s="8" t="s">
        <v>6</v>
      </c>
      <c r="E39" s="19">
        <v>35</v>
      </c>
      <c r="F39" s="20"/>
      <c r="G39" s="19">
        <f t="shared" si="7"/>
        <v>153.84615384615384</v>
      </c>
      <c r="H39" s="19"/>
      <c r="I39" s="21">
        <v>100</v>
      </c>
      <c r="J39" s="21"/>
      <c r="K39" s="19"/>
      <c r="L39" s="20"/>
      <c r="M39" s="19">
        <v>48</v>
      </c>
      <c r="N39" s="19"/>
      <c r="O39" s="19">
        <v>140</v>
      </c>
      <c r="P39" s="19"/>
      <c r="Q39" s="19">
        <f>(O39-100)/O39*100</f>
        <v>28.57142857142857</v>
      </c>
      <c r="R39" s="19"/>
      <c r="S39" s="19">
        <f>+I39*(Q39/(100-Q39))</f>
        <v>40</v>
      </c>
      <c r="T39" s="20"/>
      <c r="U39" s="19">
        <f t="shared" si="4"/>
        <v>27.200000000000003</v>
      </c>
      <c r="V39" s="19"/>
      <c r="W39" s="19">
        <f t="shared" si="5"/>
        <v>52.68000000000001</v>
      </c>
      <c r="X39" s="20"/>
      <c r="Y39" s="22">
        <f t="shared" si="2"/>
        <v>66.43887623386485</v>
      </c>
      <c r="AA39" s="22">
        <f t="shared" si="3"/>
        <v>33.56112376613516</v>
      </c>
    </row>
    <row r="40" spans="1:27" ht="15">
      <c r="A40" s="12" t="s">
        <v>23</v>
      </c>
      <c r="C40" s="8" t="s">
        <v>4</v>
      </c>
      <c r="E40" s="19">
        <v>28</v>
      </c>
      <c r="F40" s="20"/>
      <c r="G40" s="19">
        <f t="shared" si="7"/>
        <v>138.88888888888889</v>
      </c>
      <c r="H40" s="19"/>
      <c r="I40" s="21">
        <v>100</v>
      </c>
      <c r="J40" s="21"/>
      <c r="K40" s="19"/>
      <c r="L40" s="20"/>
      <c r="M40" s="19">
        <v>30</v>
      </c>
      <c r="N40" s="19"/>
      <c r="O40" s="19"/>
      <c r="P40" s="19"/>
      <c r="Q40" s="19"/>
      <c r="R40" s="19"/>
      <c r="S40" s="19"/>
      <c r="T40" s="20"/>
      <c r="U40" s="19">
        <f t="shared" si="4"/>
        <v>30</v>
      </c>
      <c r="V40" s="19"/>
      <c r="W40" s="19">
        <f t="shared" si="5"/>
        <v>49.6</v>
      </c>
      <c r="X40" s="20"/>
      <c r="Y40" s="22">
        <f t="shared" si="2"/>
        <v>56.4516129032258</v>
      </c>
      <c r="AA40" s="22">
        <f t="shared" si="3"/>
        <v>43.54838709677419</v>
      </c>
    </row>
    <row r="41" spans="1:27" ht="16.5">
      <c r="A41" s="12" t="s">
        <v>64</v>
      </c>
      <c r="C41" s="8" t="s">
        <v>4</v>
      </c>
      <c r="E41" s="19">
        <v>24.415352753548696</v>
      </c>
      <c r="F41" s="20"/>
      <c r="G41" s="19">
        <f>100/(1-E41/100)</f>
        <v>132.302</v>
      </c>
      <c r="H41" s="19"/>
      <c r="I41" s="21">
        <v>100</v>
      </c>
      <c r="J41" s="21"/>
      <c r="K41" s="19"/>
      <c r="L41" s="20"/>
      <c r="M41" s="19">
        <f>13*(1.05+1.22)+11.5</f>
        <v>41.010000000000005</v>
      </c>
      <c r="N41" s="19"/>
      <c r="O41" s="19"/>
      <c r="P41" s="19"/>
      <c r="Q41" s="19"/>
      <c r="R41" s="19"/>
      <c r="S41" s="19"/>
      <c r="T41" s="20"/>
      <c r="U41" s="19">
        <f t="shared" si="4"/>
        <v>41.010000000000005</v>
      </c>
      <c r="V41" s="19"/>
      <c r="W41" s="19">
        <f>(U41+(G41-I41))/G41*100</f>
        <v>55.412616589318375</v>
      </c>
      <c r="X41" s="20"/>
      <c r="Y41" s="22">
        <f t="shared" si="2"/>
        <v>44.06099956350937</v>
      </c>
      <c r="AA41" s="22">
        <f t="shared" si="3"/>
        <v>55.93900043649063</v>
      </c>
    </row>
    <row r="42" spans="1:28" ht="16.5">
      <c r="A42" s="12" t="s">
        <v>65</v>
      </c>
      <c r="C42" s="8" t="s">
        <v>6</v>
      </c>
      <c r="E42" s="19">
        <v>33</v>
      </c>
      <c r="F42" s="20"/>
      <c r="G42" s="19">
        <f>100/(1-E42/100)</f>
        <v>149.2537313432836</v>
      </c>
      <c r="H42" s="19"/>
      <c r="I42" s="21">
        <v>100</v>
      </c>
      <c r="J42" s="21"/>
      <c r="K42" s="19">
        <v>16.5</v>
      </c>
      <c r="L42" s="20"/>
      <c r="M42" s="19">
        <v>49.5</v>
      </c>
      <c r="N42" s="19"/>
      <c r="O42" s="19">
        <v>100.2</v>
      </c>
      <c r="P42" s="19"/>
      <c r="Q42" s="19"/>
      <c r="R42" s="19"/>
      <c r="S42" s="19">
        <f>((100-K42)/5)*1.1</f>
        <v>18.37</v>
      </c>
      <c r="T42" s="20"/>
      <c r="U42" s="19">
        <f t="shared" si="4"/>
        <v>31.229000000000003</v>
      </c>
      <c r="V42" s="19"/>
      <c r="W42" s="19">
        <f>(U42+K42+(G42-I42))/G42*100</f>
        <v>64.97843</v>
      </c>
      <c r="X42" s="20"/>
      <c r="Y42" s="22">
        <f>((G42-I42)/((G42-I42)+K42+U42))*100</f>
        <v>50.786083935853796</v>
      </c>
      <c r="Z42" s="20"/>
      <c r="AA42" s="22">
        <f>((U42+K42)/((G42-I42)+K42+U42))*100</f>
        <v>49.213916064146204</v>
      </c>
      <c r="AB42" s="20"/>
    </row>
    <row r="43" spans="1:28" ht="16.5">
      <c r="A43" s="12" t="s">
        <v>66</v>
      </c>
      <c r="C43" s="8" t="s">
        <v>6</v>
      </c>
      <c r="D43" s="8"/>
      <c r="E43" s="19">
        <v>30</v>
      </c>
      <c r="F43" s="20"/>
      <c r="G43" s="19">
        <f>100/(1-E43/100)</f>
        <v>142.85714285714286</v>
      </c>
      <c r="H43" s="19"/>
      <c r="I43" s="21">
        <v>100</v>
      </c>
      <c r="J43" s="21"/>
      <c r="K43" s="19"/>
      <c r="L43" s="20"/>
      <c r="M43" s="19">
        <v>32.5</v>
      </c>
      <c r="N43" s="19"/>
      <c r="O43" s="19">
        <v>111.11</v>
      </c>
      <c r="P43" s="19"/>
      <c r="Q43" s="19">
        <f>(O43-100)/O43*100</f>
        <v>9.99909999099991</v>
      </c>
      <c r="R43" s="19"/>
      <c r="S43" s="19">
        <f>+I43*(Q43/(100-Q43))</f>
        <v>11.110000000000001</v>
      </c>
      <c r="T43" s="20"/>
      <c r="U43" s="19">
        <f t="shared" si="4"/>
        <v>25.000750000000004</v>
      </c>
      <c r="V43" s="19"/>
      <c r="W43" s="19">
        <f t="shared" si="5"/>
        <v>47.50052500000001</v>
      </c>
      <c r="X43" s="22"/>
      <c r="Y43" s="22">
        <f t="shared" si="2"/>
        <v>63.15719668361559</v>
      </c>
      <c r="Z43" s="20"/>
      <c r="AA43" s="22">
        <f t="shared" si="3"/>
        <v>36.84280331638439</v>
      </c>
      <c r="AB43" s="20"/>
    </row>
    <row r="44" spans="1:27" ht="16.5">
      <c r="A44" s="12" t="s">
        <v>67</v>
      </c>
      <c r="C44" s="8" t="s">
        <v>4</v>
      </c>
      <c r="E44" s="19">
        <v>39.3</v>
      </c>
      <c r="F44" s="20"/>
      <c r="G44" s="19">
        <f>100/(1-E44/100)</f>
        <v>164.74464579901155</v>
      </c>
      <c r="H44" s="19"/>
      <c r="I44" s="21">
        <v>100</v>
      </c>
      <c r="J44" s="21"/>
      <c r="K44" s="19"/>
      <c r="L44" s="20"/>
      <c r="M44" s="19">
        <v>44.7</v>
      </c>
      <c r="N44" s="19"/>
      <c r="O44" s="19"/>
      <c r="P44" s="19"/>
      <c r="Q44" s="19"/>
      <c r="R44" s="19"/>
      <c r="S44" s="19"/>
      <c r="T44" s="20"/>
      <c r="U44" s="19">
        <f t="shared" si="4"/>
        <v>44.7</v>
      </c>
      <c r="V44" s="19"/>
      <c r="W44" s="19">
        <f>(G44-I44+U44)/G44*100</f>
        <v>66.4329</v>
      </c>
      <c r="X44" s="20"/>
      <c r="Y44" s="22">
        <f t="shared" si="2"/>
        <v>59.157435547748186</v>
      </c>
      <c r="AA44" s="22">
        <f>(U44/((G44-I44)+U44))*100</f>
        <v>40.842564452251814</v>
      </c>
    </row>
    <row r="45" spans="1:27" ht="5.25" customHeight="1" thickBot="1">
      <c r="A45" s="28"/>
      <c r="B45" s="28"/>
      <c r="C45" s="28"/>
      <c r="D45" s="28"/>
      <c r="E45" s="28"/>
      <c r="F45" s="28"/>
      <c r="G45" s="28"/>
      <c r="H45" s="28"/>
      <c r="I45" s="28"/>
      <c r="J45" s="28"/>
      <c r="K45" s="28"/>
      <c r="L45" s="28"/>
      <c r="M45" s="28"/>
      <c r="N45" s="28"/>
      <c r="O45" s="28"/>
      <c r="P45" s="28"/>
      <c r="Q45" s="28"/>
      <c r="R45" s="28"/>
      <c r="S45" s="28"/>
      <c r="T45" s="28"/>
      <c r="U45" s="29"/>
      <c r="V45" s="28"/>
      <c r="W45" s="28"/>
      <c r="X45" s="28"/>
      <c r="Y45" s="28"/>
      <c r="Z45" s="28"/>
      <c r="AA45" s="28"/>
    </row>
    <row r="46" ht="5.25" customHeight="1"/>
    <row r="47" ht="12.75" customHeight="1"/>
    <row r="48" ht="12.75" customHeight="1">
      <c r="A48" s="12"/>
    </row>
    <row r="49" spans="1:3" ht="12.75" customHeight="1">
      <c r="A49" s="53"/>
      <c r="B49" s="53"/>
      <c r="C49" s="53"/>
    </row>
    <row r="50" ht="12.75" customHeight="1"/>
    <row r="51" ht="12.75" customHeight="1"/>
    <row r="52" ht="12.75" customHeight="1"/>
    <row r="53" ht="12.75" customHeight="1"/>
    <row r="54" ht="12.75" customHeight="1"/>
    <row r="55" ht="12.75" customHeight="1"/>
    <row r="56" ht="12.75" customHeight="1"/>
  </sheetData>
  <sheetProtection/>
  <mergeCells count="14">
    <mergeCell ref="I5:I8"/>
    <mergeCell ref="K5:K8"/>
    <mergeCell ref="M5:M8"/>
    <mergeCell ref="O5:O8"/>
    <mergeCell ref="A49:C49"/>
    <mergeCell ref="C5:C8"/>
    <mergeCell ref="E5:E8"/>
    <mergeCell ref="G5:G8"/>
    <mergeCell ref="Q5:Q8"/>
    <mergeCell ref="AA5:AA8"/>
    <mergeCell ref="S5:S8"/>
    <mergeCell ref="U5:U8"/>
    <mergeCell ref="W5:W8"/>
    <mergeCell ref="Y5:Y8"/>
  </mergeCells>
  <printOptions/>
  <pageMargins left="0.25" right="0.25" top="1" bottom="1" header="0.3" footer="0.3"/>
  <pageSetup fitToHeight="1" fitToWidth="1" horizontalDpi="600" verticalDpi="600" orientation="portrait" paperSize="9" scale="56"/>
  <rowBreaks count="1" manualBreakCount="1">
    <brk id="47" max="26" man="1"/>
  </rowBreaks>
  <ignoredErrors>
    <ignoredError sqref="U12 W19 U21 W23 U30 U36 W42 Y42 AA42" formula="1"/>
  </ignoredErrors>
  <drawing r:id="rId1"/>
</worksheet>
</file>

<file path=xl/worksheets/sheet16.xml><?xml version="1.0" encoding="utf-8"?>
<worksheet xmlns="http://schemas.openxmlformats.org/spreadsheetml/2006/main" xmlns:r="http://schemas.openxmlformats.org/officeDocument/2006/relationships">
  <sheetPr>
    <pageSetUpPr fitToPage="1"/>
  </sheetPr>
  <dimension ref="A1:AC49"/>
  <sheetViews>
    <sheetView showGridLines="0" zoomScalePageLayoutView="0" workbookViewId="0" topLeftCell="A28">
      <selection activeCell="A1" sqref="A1:IV65536"/>
    </sheetView>
  </sheetViews>
  <sheetFormatPr defaultColWidth="9.140625" defaultRowHeight="12.75"/>
  <cols>
    <col min="1" max="1" width="16.2812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5.28125" style="2" customWidth="1"/>
    <col min="10" max="10" width="0.85546875" style="2" customWidth="1"/>
    <col min="11" max="11" width="10.42187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421875" style="2" customWidth="1"/>
    <col min="18" max="18" width="0.85546875" style="2" customWidth="1"/>
    <col min="19" max="19" width="12.421875" style="2" customWidth="1"/>
    <col min="20" max="20" width="0.85546875" style="2" customWidth="1"/>
    <col min="21" max="21" width="8.7109375" style="4" customWidth="1"/>
    <col min="22" max="22" width="0.85546875" style="2" customWidth="1"/>
    <col min="23" max="23" width="8.140625" style="2" customWidth="1"/>
    <col min="24" max="24" width="0.85546875" style="2" customWidth="1"/>
    <col min="25" max="25" width="7.7109375" style="2" customWidth="1"/>
    <col min="26" max="26" width="0.9921875" style="2" customWidth="1"/>
    <col min="27" max="27" width="7.7109375" style="2" customWidth="1"/>
    <col min="28" max="28" width="0.9921875" style="2" customWidth="1"/>
    <col min="29" max="16384" width="9.140625" style="2" customWidth="1"/>
  </cols>
  <sheetData>
    <row r="1" spans="1:3" ht="15" customHeight="1">
      <c r="A1" s="1">
        <v>41680</v>
      </c>
      <c r="C1" s="3"/>
    </row>
    <row r="2" spans="1:27" ht="15" customHeight="1">
      <c r="A2" s="5" t="s">
        <v>68</v>
      </c>
      <c r="B2" s="6"/>
      <c r="C2" s="6"/>
      <c r="D2" s="6"/>
      <c r="E2" s="6"/>
      <c r="F2" s="6"/>
      <c r="G2" s="6"/>
      <c r="H2" s="6"/>
      <c r="I2" s="6"/>
      <c r="J2" s="6"/>
      <c r="K2" s="6"/>
      <c r="L2" s="6"/>
      <c r="M2" s="6"/>
      <c r="N2" s="6"/>
      <c r="O2" s="6"/>
      <c r="P2" s="6"/>
      <c r="Q2" s="6"/>
      <c r="R2" s="6"/>
      <c r="S2" s="6"/>
      <c r="T2" s="6"/>
      <c r="U2" s="6"/>
      <c r="V2" s="6"/>
      <c r="W2" s="6"/>
      <c r="X2" s="6"/>
      <c r="Y2" s="6"/>
      <c r="Z2" s="6"/>
      <c r="AA2" s="6"/>
    </row>
    <row r="3" spans="1:28" s="8" customFormat="1" ht="15" customHeight="1" thickBot="1">
      <c r="A3" s="7"/>
      <c r="B3" s="7"/>
      <c r="C3" s="7"/>
      <c r="D3" s="7"/>
      <c r="E3" s="7"/>
      <c r="F3" s="7"/>
      <c r="G3" s="7"/>
      <c r="H3" s="7"/>
      <c r="I3" s="7"/>
      <c r="J3" s="7"/>
      <c r="K3" s="7"/>
      <c r="L3" s="7"/>
      <c r="M3" s="7"/>
      <c r="N3" s="7"/>
      <c r="O3" s="7"/>
      <c r="P3" s="7"/>
      <c r="Q3" s="7"/>
      <c r="R3" s="7"/>
      <c r="S3" s="7"/>
      <c r="T3" s="7"/>
      <c r="U3" s="7"/>
      <c r="V3" s="7"/>
      <c r="W3" s="7"/>
      <c r="X3" s="7"/>
      <c r="Y3" s="7"/>
      <c r="Z3" s="7"/>
      <c r="AA3" s="7"/>
      <c r="AB3" s="7"/>
    </row>
    <row r="4" ht="15" customHeight="1"/>
    <row r="5" spans="1:28" s="12" customFormat="1" ht="15" customHeight="1">
      <c r="A5" s="9"/>
      <c r="B5" s="9"/>
      <c r="C5" s="51" t="s">
        <v>0</v>
      </c>
      <c r="D5" s="10"/>
      <c r="E5" s="51" t="s">
        <v>46</v>
      </c>
      <c r="F5" s="11"/>
      <c r="G5" s="51" t="s">
        <v>47</v>
      </c>
      <c r="H5" s="11"/>
      <c r="I5" s="51" t="s">
        <v>48</v>
      </c>
      <c r="J5" s="10"/>
      <c r="K5" s="51" t="s">
        <v>49</v>
      </c>
      <c r="L5" s="11"/>
      <c r="M5" s="51" t="s">
        <v>50</v>
      </c>
      <c r="N5" s="10"/>
      <c r="O5" s="51" t="s">
        <v>51</v>
      </c>
      <c r="P5" s="11"/>
      <c r="Q5" s="51" t="s">
        <v>52</v>
      </c>
      <c r="R5" s="11"/>
      <c r="S5" s="51" t="s">
        <v>53</v>
      </c>
      <c r="T5" s="11"/>
      <c r="U5" s="51" t="s">
        <v>54</v>
      </c>
      <c r="V5" s="10"/>
      <c r="W5" s="51" t="s">
        <v>55</v>
      </c>
      <c r="X5" s="10"/>
      <c r="Y5" s="51" t="s">
        <v>56</v>
      </c>
      <c r="AA5" s="51" t="s">
        <v>57</v>
      </c>
      <c r="AB5" s="10"/>
    </row>
    <row r="6" spans="2:28" s="12" customFormat="1" ht="15" customHeight="1">
      <c r="B6" s="9"/>
      <c r="C6" s="52"/>
      <c r="D6" s="10"/>
      <c r="E6" s="52"/>
      <c r="F6" s="11"/>
      <c r="G6" s="52"/>
      <c r="H6" s="11"/>
      <c r="I6" s="52"/>
      <c r="J6" s="10"/>
      <c r="K6" s="52"/>
      <c r="L6" s="11"/>
      <c r="M6" s="52"/>
      <c r="N6" s="13"/>
      <c r="O6" s="52"/>
      <c r="P6" s="11"/>
      <c r="Q6" s="52"/>
      <c r="R6" s="11"/>
      <c r="S6" s="52"/>
      <c r="T6" s="11"/>
      <c r="U6" s="52"/>
      <c r="V6" s="10"/>
      <c r="W6" s="52"/>
      <c r="X6" s="13"/>
      <c r="Y6" s="52"/>
      <c r="AA6" s="52"/>
      <c r="AB6" s="10"/>
    </row>
    <row r="7" spans="1:28" s="12" customFormat="1" ht="15" customHeight="1">
      <c r="A7" s="14"/>
      <c r="B7" s="9"/>
      <c r="C7" s="52"/>
      <c r="D7" s="10"/>
      <c r="E7" s="52"/>
      <c r="F7" s="11"/>
      <c r="G7" s="52"/>
      <c r="H7" s="11"/>
      <c r="I7" s="52"/>
      <c r="J7" s="10"/>
      <c r="K7" s="52"/>
      <c r="L7" s="11"/>
      <c r="M7" s="52"/>
      <c r="N7" s="13"/>
      <c r="O7" s="52"/>
      <c r="P7" s="11"/>
      <c r="Q7" s="52"/>
      <c r="R7" s="11"/>
      <c r="S7" s="52"/>
      <c r="T7" s="11"/>
      <c r="U7" s="52"/>
      <c r="V7" s="10"/>
      <c r="W7" s="52"/>
      <c r="X7" s="13"/>
      <c r="Y7" s="52"/>
      <c r="AA7" s="52"/>
      <c r="AB7" s="10"/>
    </row>
    <row r="8" spans="1:28" s="12" customFormat="1" ht="15" customHeight="1">
      <c r="A8" s="14" t="s">
        <v>1</v>
      </c>
      <c r="B8" s="9"/>
      <c r="C8" s="52"/>
      <c r="D8" s="10"/>
      <c r="E8" s="52"/>
      <c r="F8" s="11"/>
      <c r="G8" s="52"/>
      <c r="H8" s="11"/>
      <c r="I8" s="52"/>
      <c r="J8" s="10"/>
      <c r="K8" s="52"/>
      <c r="L8" s="11"/>
      <c r="M8" s="52"/>
      <c r="N8" s="13"/>
      <c r="O8" s="52"/>
      <c r="P8" s="11"/>
      <c r="Q8" s="52"/>
      <c r="R8" s="11"/>
      <c r="S8" s="52"/>
      <c r="T8" s="11"/>
      <c r="U8" s="52"/>
      <c r="V8" s="10"/>
      <c r="W8" s="52"/>
      <c r="X8" s="13"/>
      <c r="Y8" s="52"/>
      <c r="AA8" s="52"/>
      <c r="AB8" s="10"/>
    </row>
    <row r="9" spans="1:28" ht="15" customHeight="1">
      <c r="A9" s="15"/>
      <c r="B9" s="15"/>
      <c r="C9" s="16"/>
      <c r="D9" s="17"/>
      <c r="E9" s="16"/>
      <c r="F9" s="18"/>
      <c r="G9" s="16"/>
      <c r="H9" s="18"/>
      <c r="I9" s="16"/>
      <c r="J9" s="17"/>
      <c r="K9" s="16"/>
      <c r="L9" s="18"/>
      <c r="M9" s="16"/>
      <c r="N9" s="16"/>
      <c r="O9" s="18"/>
      <c r="P9" s="18"/>
      <c r="Q9" s="18"/>
      <c r="R9" s="18"/>
      <c r="S9" s="18"/>
      <c r="T9" s="18"/>
      <c r="U9" s="15"/>
      <c r="V9" s="17"/>
      <c r="W9" s="16"/>
      <c r="X9" s="16"/>
      <c r="Y9" s="16"/>
      <c r="Z9" s="16"/>
      <c r="AA9" s="16"/>
      <c r="AB9" s="16"/>
    </row>
    <row r="10" ht="15" customHeight="1"/>
    <row r="11" spans="1:28" ht="12.75">
      <c r="A11" s="12" t="s">
        <v>58</v>
      </c>
      <c r="C11" s="8" t="s">
        <v>2</v>
      </c>
      <c r="D11" s="19"/>
      <c r="E11" s="19">
        <v>30</v>
      </c>
      <c r="F11" s="20"/>
      <c r="G11" s="19">
        <f>100/(1-E11/100)</f>
        <v>142.85714285714286</v>
      </c>
      <c r="H11" s="19"/>
      <c r="I11" s="21">
        <v>100</v>
      </c>
      <c r="J11" s="21"/>
      <c r="K11" s="19"/>
      <c r="L11" s="20"/>
      <c r="M11" s="19">
        <v>48.5</v>
      </c>
      <c r="N11" s="19"/>
      <c r="O11" s="19">
        <v>142.9</v>
      </c>
      <c r="P11" s="19"/>
      <c r="Q11" s="19">
        <f>(O11-100)/O11*100</f>
        <v>30.020993701889438</v>
      </c>
      <c r="R11" s="19"/>
      <c r="S11" s="19">
        <f>+I11*(Q11/(100-Q11))</f>
        <v>42.90000000000001</v>
      </c>
      <c r="T11" s="20"/>
      <c r="U11" s="19">
        <f>+(M11/100)*MAX(I11,O11)-S11</f>
        <v>26.406499999999987</v>
      </c>
      <c r="V11" s="19"/>
      <c r="W11" s="22">
        <f>(G11-I11+U11)/G11*100</f>
        <v>48.48455</v>
      </c>
      <c r="X11" s="22"/>
      <c r="Y11" s="22">
        <f aca="true" t="shared" si="0" ref="Y11:Y44">((G11-I11)/((G11-I11)+U11))*100</f>
        <v>61.875380920313795</v>
      </c>
      <c r="Z11" s="20"/>
      <c r="AA11" s="22">
        <f>(U11/((G11-I11)+U11))*100</f>
        <v>38.12461907968619</v>
      </c>
      <c r="AB11" s="20"/>
    </row>
    <row r="12" spans="1:28" ht="12.75">
      <c r="A12" s="12" t="s">
        <v>3</v>
      </c>
      <c r="C12" s="8" t="s">
        <v>4</v>
      </c>
      <c r="D12" s="19"/>
      <c r="E12" s="19">
        <v>34</v>
      </c>
      <c r="F12" s="20"/>
      <c r="G12" s="19">
        <f>100/(1-E12/100)</f>
        <v>151.51515151515153</v>
      </c>
      <c r="H12" s="19"/>
      <c r="I12" s="21">
        <v>100</v>
      </c>
      <c r="J12" s="21"/>
      <c r="K12" s="19">
        <v>25</v>
      </c>
      <c r="L12" s="20"/>
      <c r="M12" s="19">
        <v>25</v>
      </c>
      <c r="N12" s="19"/>
      <c r="O12" s="19"/>
      <c r="P12" s="19"/>
      <c r="Q12" s="19"/>
      <c r="R12" s="19"/>
      <c r="S12" s="19"/>
      <c r="T12" s="20"/>
      <c r="U12" s="19">
        <f>+(K12/100)*MAX(I12,O12)-S12</f>
        <v>25</v>
      </c>
      <c r="V12" s="19"/>
      <c r="W12" s="22">
        <f aca="true" t="shared" si="1" ref="W12:W44">(G12-I12+U12)/G12*100</f>
        <v>50.5</v>
      </c>
      <c r="X12" s="22"/>
      <c r="Y12" s="22">
        <f t="shared" si="0"/>
        <v>67.32673267326733</v>
      </c>
      <c r="Z12" s="20"/>
      <c r="AA12" s="22">
        <f>(U12/((G12-I12)+U12))*100</f>
        <v>32.67326732673267</v>
      </c>
      <c r="AB12" s="20"/>
    </row>
    <row r="13" spans="1:28" ht="12.75">
      <c r="A13" s="12" t="s">
        <v>59</v>
      </c>
      <c r="C13" s="8" t="s">
        <v>4</v>
      </c>
      <c r="D13" s="19"/>
      <c r="E13" s="19">
        <f>39*1.03</f>
        <v>40.17</v>
      </c>
      <c r="F13" s="20"/>
      <c r="G13" s="19">
        <f>100/(1-E13/100)</f>
        <v>167.14023065351827</v>
      </c>
      <c r="H13" s="22"/>
      <c r="I13" s="21">
        <v>100</v>
      </c>
      <c r="J13" s="23"/>
      <c r="K13" s="22"/>
      <c r="L13" s="20"/>
      <c r="M13" s="19">
        <v>15</v>
      </c>
      <c r="N13" s="19"/>
      <c r="O13" s="19"/>
      <c r="P13" s="19"/>
      <c r="Q13" s="19"/>
      <c r="R13" s="19"/>
      <c r="S13" s="19"/>
      <c r="T13" s="20"/>
      <c r="U13" s="19">
        <f>+(M13/100)*MAX(I13,O13)-S13</f>
        <v>15</v>
      </c>
      <c r="V13" s="19"/>
      <c r="W13" s="22">
        <f t="shared" si="1"/>
        <v>49.144499999999994</v>
      </c>
      <c r="X13" s="22"/>
      <c r="Y13" s="22">
        <f t="shared" si="0"/>
        <v>81.73854653114793</v>
      </c>
      <c r="Z13" s="20"/>
      <c r="AA13" s="22">
        <f aca="true" t="shared" si="2" ref="AA13:AA44">(U13/((G13-I13)+U13))*100</f>
        <v>18.261453468852064</v>
      </c>
      <c r="AB13" s="20"/>
    </row>
    <row r="14" spans="1:28" ht="12.75">
      <c r="A14" s="12" t="s">
        <v>5</v>
      </c>
      <c r="C14" s="8" t="s">
        <v>6</v>
      </c>
      <c r="D14" s="19"/>
      <c r="E14" s="19">
        <v>40.48</v>
      </c>
      <c r="F14" s="20"/>
      <c r="G14" s="19">
        <f>100/(1-E14/100)</f>
        <v>168.01075268817206</v>
      </c>
      <c r="H14" s="22"/>
      <c r="I14" s="21">
        <v>100</v>
      </c>
      <c r="J14" s="23"/>
      <c r="K14" s="22"/>
      <c r="L14" s="20"/>
      <c r="M14" s="19">
        <f>29+11.16*1.56</f>
        <v>46.4096</v>
      </c>
      <c r="N14" s="19"/>
      <c r="O14" s="19">
        <f>1.25*I14</f>
        <v>125</v>
      </c>
      <c r="P14" s="19"/>
      <c r="Q14" s="19">
        <f>13.33+5.13+0.56*5.13</f>
        <v>21.332800000000002</v>
      </c>
      <c r="R14" s="19"/>
      <c r="S14" s="19">
        <f>O14*Q14/100</f>
        <v>26.666000000000004</v>
      </c>
      <c r="T14" s="20"/>
      <c r="U14" s="19">
        <f>+(M14/100)*MAX(I14,O14)-S14</f>
        <v>31.34599999999999</v>
      </c>
      <c r="V14" s="19"/>
      <c r="W14" s="22">
        <f t="shared" si="1"/>
        <v>59.1371392</v>
      </c>
      <c r="X14" s="22"/>
      <c r="Y14" s="22">
        <f t="shared" si="0"/>
        <v>68.4510623063755</v>
      </c>
      <c r="Z14" s="20"/>
      <c r="AA14" s="22">
        <f t="shared" si="2"/>
        <v>31.548937693624502</v>
      </c>
      <c r="AB14" s="20"/>
    </row>
    <row r="15" spans="1:28" ht="12.75">
      <c r="A15" s="12" t="s">
        <v>41</v>
      </c>
      <c r="C15" s="8" t="s">
        <v>2</v>
      </c>
      <c r="E15" s="19">
        <v>15</v>
      </c>
      <c r="F15" s="20"/>
      <c r="G15" s="19">
        <v>117.64705882352942</v>
      </c>
      <c r="H15" s="22"/>
      <c r="I15" s="21">
        <v>100</v>
      </c>
      <c r="J15" s="23"/>
      <c r="K15" s="22" t="s">
        <v>34</v>
      </c>
      <c r="L15" s="20"/>
      <c r="M15" s="19">
        <v>45</v>
      </c>
      <c r="N15" s="19"/>
      <c r="O15" s="19">
        <v>117.64705882352942</v>
      </c>
      <c r="P15" s="19"/>
      <c r="Q15" s="19">
        <v>15.000000000000005</v>
      </c>
      <c r="R15" s="19"/>
      <c r="S15" s="19">
        <f>O15*Q15/100</f>
        <v>17.64705882352942</v>
      </c>
      <c r="T15" s="20" t="s">
        <v>40</v>
      </c>
      <c r="U15" s="19">
        <f>+(M15/100)*MAX(I15,O15)-S15</f>
        <v>35.29411764705882</v>
      </c>
      <c r="V15" s="19"/>
      <c r="W15" s="22">
        <f>(G15-I15+U15)/G15*100</f>
        <v>45</v>
      </c>
      <c r="X15" s="20"/>
      <c r="Y15" s="22">
        <f>((G15-I15)/((G15-I15)+U15))*100</f>
        <v>33.33333333333335</v>
      </c>
      <c r="AA15" s="22">
        <f>(U15/((G15-I15)+U15))*100</f>
        <v>66.66666666666666</v>
      </c>
      <c r="AB15" s="8"/>
    </row>
    <row r="16" spans="1:28" ht="12.75">
      <c r="A16" s="12" t="s">
        <v>7</v>
      </c>
      <c r="C16" s="8" t="s">
        <v>4</v>
      </c>
      <c r="E16" s="19">
        <v>31</v>
      </c>
      <c r="F16" s="20"/>
      <c r="G16" s="19">
        <f aca="true" t="shared" si="3" ref="G16:G44">100/(1-E16/100)</f>
        <v>144.92753623188406</v>
      </c>
      <c r="H16" s="22"/>
      <c r="I16" s="21">
        <v>100</v>
      </c>
      <c r="J16" s="23"/>
      <c r="K16" s="22">
        <v>15</v>
      </c>
      <c r="L16" s="20"/>
      <c r="M16" s="19">
        <v>15</v>
      </c>
      <c r="N16" s="19"/>
      <c r="O16" s="19"/>
      <c r="P16" s="19"/>
      <c r="Q16" s="19"/>
      <c r="R16" s="19"/>
      <c r="S16" s="19"/>
      <c r="T16" s="20"/>
      <c r="U16" s="19">
        <f aca="true" t="shared" si="4" ref="U16:U42">+(M16/100)*MAX(I16,O16)-S16</f>
        <v>15</v>
      </c>
      <c r="V16" s="19"/>
      <c r="W16" s="22">
        <f t="shared" si="1"/>
        <v>41.35</v>
      </c>
      <c r="X16" s="20"/>
      <c r="Y16" s="22">
        <f t="shared" si="0"/>
        <v>74.96977025392987</v>
      </c>
      <c r="AA16" s="22">
        <f t="shared" si="2"/>
        <v>25.03022974607013</v>
      </c>
      <c r="AB16" s="20"/>
    </row>
    <row r="17" spans="1:28" ht="12.75">
      <c r="A17" s="12" t="s">
        <v>8</v>
      </c>
      <c r="C17" s="8" t="s">
        <v>26</v>
      </c>
      <c r="D17" s="19"/>
      <c r="E17" s="19">
        <v>30</v>
      </c>
      <c r="F17" s="20"/>
      <c r="G17" s="19">
        <f t="shared" si="3"/>
        <v>142.85714285714286</v>
      </c>
      <c r="H17" s="22"/>
      <c r="I17" s="21">
        <v>100</v>
      </c>
      <c r="J17" s="23"/>
      <c r="K17" s="22"/>
      <c r="L17" s="20"/>
      <c r="M17" s="19">
        <v>43</v>
      </c>
      <c r="N17" s="19"/>
      <c r="O17" s="19"/>
      <c r="P17" s="19"/>
      <c r="Q17" s="19"/>
      <c r="R17" s="19"/>
      <c r="S17" s="19"/>
      <c r="T17" s="20"/>
      <c r="U17" s="19">
        <f t="shared" si="4"/>
        <v>43</v>
      </c>
      <c r="V17" s="19"/>
      <c r="W17" s="22">
        <f t="shared" si="1"/>
        <v>60.099999999999994</v>
      </c>
      <c r="X17" s="22"/>
      <c r="Y17" s="22">
        <f t="shared" si="0"/>
        <v>49.91680532445923</v>
      </c>
      <c r="Z17" s="20"/>
      <c r="AA17" s="22">
        <f t="shared" si="2"/>
        <v>50.08319467554077</v>
      </c>
      <c r="AB17" s="20"/>
    </row>
    <row r="18" spans="1:28" ht="12.75">
      <c r="A18" s="12" t="s">
        <v>44</v>
      </c>
      <c r="C18" s="8" t="s">
        <v>30</v>
      </c>
      <c r="D18" s="8"/>
      <c r="E18" s="8">
        <v>26</v>
      </c>
      <c r="G18" s="19">
        <v>135.13513513513513</v>
      </c>
      <c r="H18" s="24"/>
      <c r="I18" s="21">
        <v>100</v>
      </c>
      <c r="J18" s="23"/>
      <c r="K18" s="24" t="s">
        <v>34</v>
      </c>
      <c r="M18" s="8">
        <v>0</v>
      </c>
      <c r="N18" s="8"/>
      <c r="O18" s="8"/>
      <c r="P18" s="8"/>
      <c r="Q18" s="8"/>
      <c r="R18" s="8"/>
      <c r="S18" s="8"/>
      <c r="U18" s="19">
        <v>0</v>
      </c>
      <c r="V18" s="19"/>
      <c r="W18" s="22">
        <v>25.999999999999996</v>
      </c>
      <c r="X18" s="22"/>
      <c r="Y18" s="22">
        <v>100</v>
      </c>
      <c r="Z18" s="20"/>
      <c r="AA18" s="22">
        <v>0</v>
      </c>
      <c r="AB18" s="20"/>
    </row>
    <row r="19" spans="1:28" ht="12.75">
      <c r="A19" s="12" t="s">
        <v>60</v>
      </c>
      <c r="C19" s="8" t="s">
        <v>2</v>
      </c>
      <c r="D19" s="19"/>
      <c r="E19" s="19">
        <v>29</v>
      </c>
      <c r="F19" s="20"/>
      <c r="G19" s="19">
        <f t="shared" si="3"/>
        <v>140.84507042253523</v>
      </c>
      <c r="H19" s="22"/>
      <c r="I19" s="21">
        <v>100</v>
      </c>
      <c r="J19" s="23"/>
      <c r="K19" s="22"/>
      <c r="L19" s="20"/>
      <c r="M19" s="19">
        <v>29</v>
      </c>
      <c r="N19" s="19"/>
      <c r="O19" s="19">
        <v>140.8</v>
      </c>
      <c r="P19" s="19"/>
      <c r="Q19" s="19">
        <f>(O19-100)/O19*100</f>
        <v>28.977272727272734</v>
      </c>
      <c r="R19" s="19"/>
      <c r="S19" s="19">
        <f>+I19*(Q19/(100-Q19))</f>
        <v>40.80000000000001</v>
      </c>
      <c r="T19" s="20"/>
      <c r="U19" s="19">
        <f t="shared" si="4"/>
        <v>0.03199999999998937</v>
      </c>
      <c r="V19" s="19"/>
      <c r="W19" s="22">
        <f t="shared" si="1"/>
        <v>29.022720000000003</v>
      </c>
      <c r="X19" s="22"/>
      <c r="Y19" s="22">
        <v>100</v>
      </c>
      <c r="Z19" s="20"/>
      <c r="AA19" s="22">
        <v>0</v>
      </c>
      <c r="AB19" s="20"/>
    </row>
    <row r="20" spans="1:28" ht="12.75">
      <c r="A20" s="12" t="s">
        <v>61</v>
      </c>
      <c r="C20" s="8" t="s">
        <v>2</v>
      </c>
      <c r="E20" s="19">
        <v>36.43</v>
      </c>
      <c r="F20" s="20"/>
      <c r="G20" s="19">
        <f t="shared" si="3"/>
        <v>157.30690577316346</v>
      </c>
      <c r="H20" s="22"/>
      <c r="I20" s="21">
        <v>100</v>
      </c>
      <c r="J20" s="23"/>
      <c r="K20" s="22"/>
      <c r="L20" s="20"/>
      <c r="M20" s="19">
        <v>60.05</v>
      </c>
      <c r="N20" s="19"/>
      <c r="O20" s="19">
        <v>150</v>
      </c>
      <c r="P20" s="19"/>
      <c r="Q20" s="19">
        <f>(O20-100)/O20*100</f>
        <v>33.33333333333333</v>
      </c>
      <c r="R20" s="19"/>
      <c r="S20" s="19">
        <f>+I20*(Q20/(100-Q20))</f>
        <v>49.999999999999986</v>
      </c>
      <c r="T20" s="20"/>
      <c r="U20" s="19">
        <f>+(M20/100)*MAX(I20,O20)-S20</f>
        <v>40.075</v>
      </c>
      <c r="V20" s="19"/>
      <c r="W20" s="22">
        <f t="shared" si="1"/>
        <v>61.90567750000001</v>
      </c>
      <c r="X20" s="20"/>
      <c r="Y20" s="22">
        <f t="shared" si="0"/>
        <v>58.847591159954604</v>
      </c>
      <c r="AA20" s="22">
        <f>(U20/((G20-I20)+U20))*100</f>
        <v>41.152408840045396</v>
      </c>
      <c r="AB20" s="20"/>
    </row>
    <row r="21" spans="1:28" ht="12.75">
      <c r="A21" s="12" t="s">
        <v>69</v>
      </c>
      <c r="C21" s="8" t="s">
        <v>25</v>
      </c>
      <c r="D21" s="19"/>
      <c r="E21" s="19">
        <v>38.9</v>
      </c>
      <c r="F21" s="20"/>
      <c r="G21" s="19">
        <f t="shared" si="3"/>
        <v>163.66612111292963</v>
      </c>
      <c r="H21" s="22"/>
      <c r="I21" s="21">
        <v>100</v>
      </c>
      <c r="J21" s="23"/>
      <c r="K21" s="22"/>
      <c r="L21" s="20"/>
      <c r="M21" s="19">
        <f>48.5*1.055</f>
        <v>51.1675</v>
      </c>
      <c r="N21" s="19"/>
      <c r="O21" s="19"/>
      <c r="P21" s="19"/>
      <c r="Q21" s="19"/>
      <c r="R21" s="19"/>
      <c r="S21" s="19"/>
      <c r="T21" s="20"/>
      <c r="U21" s="22">
        <f>I21/2*M21/100</f>
        <v>25.58375</v>
      </c>
      <c r="V21" s="19"/>
      <c r="W21" s="22">
        <f t="shared" si="1"/>
        <v>54.53167125</v>
      </c>
      <c r="X21" s="22"/>
      <c r="Y21" s="22">
        <f t="shared" si="0"/>
        <v>71.33469249761899</v>
      </c>
      <c r="Z21" s="20"/>
      <c r="AA21" s="22">
        <f>(U21/((G21-I21)+U21))*100</f>
        <v>28.66530750238101</v>
      </c>
      <c r="AB21" s="20"/>
    </row>
    <row r="22" spans="1:28" ht="15">
      <c r="A22" s="12" t="s">
        <v>10</v>
      </c>
      <c r="C22" s="8" t="s">
        <v>30</v>
      </c>
      <c r="E22" s="19">
        <v>35</v>
      </c>
      <c r="F22" s="20"/>
      <c r="G22" s="19">
        <f t="shared" si="3"/>
        <v>153.84615384615384</v>
      </c>
      <c r="H22" s="22"/>
      <c r="I22" s="21">
        <v>100</v>
      </c>
      <c r="J22" s="23"/>
      <c r="K22" s="22"/>
      <c r="L22" s="20"/>
      <c r="M22" s="19">
        <v>0</v>
      </c>
      <c r="N22" s="19"/>
      <c r="O22" s="19"/>
      <c r="P22" s="19"/>
      <c r="Q22" s="19"/>
      <c r="R22" s="19"/>
      <c r="S22" s="19"/>
      <c r="T22" s="20"/>
      <c r="U22" s="19">
        <f>+(M22/100)*MAX(I22,O22)-S22</f>
        <v>0</v>
      </c>
      <c r="V22" s="19"/>
      <c r="W22" s="22">
        <f t="shared" si="1"/>
        <v>35</v>
      </c>
      <c r="X22" s="20"/>
      <c r="Y22" s="22">
        <f>((G22-I22)/((G22-I22)+U22))*100</f>
        <v>100</v>
      </c>
      <c r="AA22" s="22">
        <f>(U22/((G22-I22)+U22))*100</f>
        <v>0</v>
      </c>
      <c r="AB22" s="20"/>
    </row>
    <row r="23" spans="1:28" ht="16.5">
      <c r="A23" s="12" t="s">
        <v>70</v>
      </c>
      <c r="C23" s="8" t="s">
        <v>27</v>
      </c>
      <c r="D23" s="19"/>
      <c r="E23" s="19">
        <v>18</v>
      </c>
      <c r="F23" s="20"/>
      <c r="G23" s="19">
        <f t="shared" si="3"/>
        <v>121.95121951219511</v>
      </c>
      <c r="H23" s="22"/>
      <c r="I23" s="21">
        <v>100</v>
      </c>
      <c r="J23" s="23"/>
      <c r="K23" s="22"/>
      <c r="L23" s="20"/>
      <c r="M23" s="19">
        <f>35</f>
        <v>35</v>
      </c>
      <c r="N23" s="19"/>
      <c r="O23" s="19"/>
      <c r="P23" s="19"/>
      <c r="Q23" s="19"/>
      <c r="R23" s="19"/>
      <c r="S23" s="19"/>
      <c r="T23" s="20"/>
      <c r="U23" s="19">
        <f t="shared" si="4"/>
        <v>35</v>
      </c>
      <c r="V23" s="19"/>
      <c r="W23" s="22">
        <f t="shared" si="1"/>
        <v>46.699999999999996</v>
      </c>
      <c r="X23" s="22"/>
      <c r="Y23" s="22">
        <f t="shared" si="0"/>
        <v>38.543897216274075</v>
      </c>
      <c r="Z23" s="20"/>
      <c r="AA23" s="22">
        <f t="shared" si="2"/>
        <v>61.45610278372592</v>
      </c>
      <c r="AB23" s="20"/>
    </row>
    <row r="24" spans="1:28" ht="15">
      <c r="A24" s="12" t="s">
        <v>11</v>
      </c>
      <c r="C24" s="8" t="s">
        <v>4</v>
      </c>
      <c r="D24" s="19"/>
      <c r="E24" s="19">
        <v>30</v>
      </c>
      <c r="F24" s="20"/>
      <c r="G24" s="19">
        <f t="shared" si="3"/>
        <v>142.85714285714286</v>
      </c>
      <c r="H24" s="19"/>
      <c r="I24" s="21">
        <v>100</v>
      </c>
      <c r="J24" s="21"/>
      <c r="K24" s="19"/>
      <c r="L24" s="20"/>
      <c r="M24" s="19">
        <v>10</v>
      </c>
      <c r="N24" s="19"/>
      <c r="O24" s="19"/>
      <c r="P24" s="19"/>
      <c r="Q24" s="19"/>
      <c r="R24" s="19"/>
      <c r="S24" s="19"/>
      <c r="T24" s="20"/>
      <c r="U24" s="19">
        <f t="shared" si="4"/>
        <v>10</v>
      </c>
      <c r="V24" s="19"/>
      <c r="W24" s="22">
        <f t="shared" si="1"/>
        <v>37</v>
      </c>
      <c r="X24" s="22"/>
      <c r="Y24" s="22">
        <f t="shared" si="0"/>
        <v>81.08108108108108</v>
      </c>
      <c r="Z24" s="20"/>
      <c r="AA24" s="22">
        <f t="shared" si="2"/>
        <v>18.918918918918916</v>
      </c>
      <c r="AB24" s="20"/>
    </row>
    <row r="25" spans="1:28" ht="15">
      <c r="A25" s="12" t="s">
        <v>12</v>
      </c>
      <c r="C25" s="8" t="s">
        <v>4</v>
      </c>
      <c r="D25" s="19"/>
      <c r="E25" s="19">
        <v>20</v>
      </c>
      <c r="F25" s="20"/>
      <c r="G25" s="19">
        <f t="shared" si="3"/>
        <v>125</v>
      </c>
      <c r="H25" s="19"/>
      <c r="I25" s="21">
        <v>100</v>
      </c>
      <c r="J25" s="21"/>
      <c r="K25" s="19"/>
      <c r="L25" s="20"/>
      <c r="M25" s="19">
        <v>42</v>
      </c>
      <c r="N25" s="19"/>
      <c r="O25" s="19"/>
      <c r="P25" s="19"/>
      <c r="Q25" s="19"/>
      <c r="R25" s="19"/>
      <c r="S25" s="19"/>
      <c r="T25" s="20"/>
      <c r="U25" s="19">
        <f t="shared" si="4"/>
        <v>42</v>
      </c>
      <c r="V25" s="19"/>
      <c r="W25" s="22">
        <f t="shared" si="1"/>
        <v>53.6</v>
      </c>
      <c r="X25" s="22"/>
      <c r="Y25" s="22">
        <f t="shared" si="0"/>
        <v>37.3134328358209</v>
      </c>
      <c r="Z25" s="20"/>
      <c r="AA25" s="22">
        <f t="shared" si="2"/>
        <v>62.68656716417911</v>
      </c>
      <c r="AB25" s="20"/>
    </row>
    <row r="26" spans="1:28" ht="15">
      <c r="A26" s="12" t="s">
        <v>43</v>
      </c>
      <c r="C26" s="8" t="s">
        <v>29</v>
      </c>
      <c r="D26" s="8"/>
      <c r="E26" s="8">
        <v>36</v>
      </c>
      <c r="F26" s="20"/>
      <c r="G26" s="19">
        <v>156.25</v>
      </c>
      <c r="H26" s="19"/>
      <c r="I26" s="21">
        <v>100</v>
      </c>
      <c r="J26" s="21"/>
      <c r="K26" s="19"/>
      <c r="L26" s="20"/>
      <c r="M26" s="19">
        <v>25</v>
      </c>
      <c r="N26" s="19"/>
      <c r="O26" s="19"/>
      <c r="P26" s="19"/>
      <c r="Q26" s="19"/>
      <c r="R26" s="19"/>
      <c r="S26" s="19"/>
      <c r="T26" s="20"/>
      <c r="U26" s="19">
        <v>25</v>
      </c>
      <c r="V26" s="19"/>
      <c r="W26" s="22">
        <v>52</v>
      </c>
      <c r="X26" s="22"/>
      <c r="Y26" s="22">
        <v>69.23076923076923</v>
      </c>
      <c r="Z26" s="20"/>
      <c r="AA26" s="22">
        <v>30.76923076923077</v>
      </c>
      <c r="AB26" s="20"/>
    </row>
    <row r="27" spans="1:28" ht="15">
      <c r="A27" s="12" t="s">
        <v>13</v>
      </c>
      <c r="C27" s="8" t="s">
        <v>39</v>
      </c>
      <c r="E27" s="19">
        <v>36</v>
      </c>
      <c r="F27" s="20"/>
      <c r="G27" s="19">
        <f t="shared" si="3"/>
        <v>156.25</v>
      </c>
      <c r="H27" s="22"/>
      <c r="I27" s="21">
        <v>100</v>
      </c>
      <c r="J27" s="23"/>
      <c r="K27" s="22">
        <v>12.5</v>
      </c>
      <c r="L27" s="20"/>
      <c r="M27" s="19">
        <v>12.5</v>
      </c>
      <c r="N27" s="19"/>
      <c r="O27" s="19" t="s">
        <v>40</v>
      </c>
      <c r="P27" s="19" t="s">
        <v>40</v>
      </c>
      <c r="Q27" s="19" t="s">
        <v>40</v>
      </c>
      <c r="R27" s="19"/>
      <c r="S27" s="19" t="s">
        <v>40</v>
      </c>
      <c r="T27" s="20"/>
      <c r="U27" s="19">
        <v>12.5</v>
      </c>
      <c r="V27" s="19"/>
      <c r="W27" s="22">
        <f t="shared" si="1"/>
        <v>44</v>
      </c>
      <c r="X27" s="20"/>
      <c r="Y27" s="22">
        <f t="shared" si="0"/>
        <v>81.81818181818183</v>
      </c>
      <c r="AA27" s="22">
        <f t="shared" si="2"/>
        <v>18.181818181818183</v>
      </c>
      <c r="AB27" s="20"/>
    </row>
    <row r="28" spans="1:28" ht="15">
      <c r="A28" s="12" t="s">
        <v>14</v>
      </c>
      <c r="C28" s="8" t="s">
        <v>4</v>
      </c>
      <c r="E28" s="19">
        <v>40.87</v>
      </c>
      <c r="G28" s="19">
        <f t="shared" si="3"/>
        <v>169.1188905800778</v>
      </c>
      <c r="H28" s="8"/>
      <c r="I28" s="21">
        <v>100</v>
      </c>
      <c r="J28" s="21"/>
      <c r="K28" s="8"/>
      <c r="L28" s="27"/>
      <c r="M28" s="19">
        <v>50</v>
      </c>
      <c r="N28" s="19"/>
      <c r="O28" s="19"/>
      <c r="P28" s="8"/>
      <c r="Q28" s="19"/>
      <c r="R28" s="19"/>
      <c r="S28" s="19">
        <v>6.4</v>
      </c>
      <c r="T28" s="27"/>
      <c r="U28" s="19">
        <f>+(M28/100)*MAX(I28,O28)-S28</f>
        <v>43.6</v>
      </c>
      <c r="V28" s="8"/>
      <c r="W28" s="19">
        <f>(U28+(G28-I28))/G28*100</f>
        <v>66.65068</v>
      </c>
      <c r="X28" s="30"/>
      <c r="Y28" s="22">
        <f>((G28-I28)/((G28-I28)+U28))*100</f>
        <v>61.31970446513074</v>
      </c>
      <c r="AA28" s="22">
        <f>(U28/((G28-I28)+U28))*100</f>
        <v>38.680295534869266</v>
      </c>
      <c r="AB28" s="20"/>
    </row>
    <row r="29" spans="1:29" s="27" customFormat="1" ht="15">
      <c r="A29" s="12" t="s">
        <v>15</v>
      </c>
      <c r="B29" s="2"/>
      <c r="C29" s="8" t="s">
        <v>6</v>
      </c>
      <c r="D29" s="2"/>
      <c r="E29" s="19">
        <v>30.8</v>
      </c>
      <c r="F29" s="2"/>
      <c r="G29" s="19">
        <f t="shared" si="3"/>
        <v>144.50867052023122</v>
      </c>
      <c r="H29" s="8"/>
      <c r="I29" s="21">
        <v>100</v>
      </c>
      <c r="J29" s="21"/>
      <c r="K29" s="8"/>
      <c r="M29" s="19">
        <v>44</v>
      </c>
      <c r="N29" s="19"/>
      <c r="O29" s="19">
        <v>119</v>
      </c>
      <c r="P29" s="8"/>
      <c r="Q29" s="19">
        <f>(O29-100)/O29*100</f>
        <v>15.966386554621847</v>
      </c>
      <c r="R29" s="19">
        <v>20.9</v>
      </c>
      <c r="S29" s="19">
        <f>+I29*(Q29/(100-Q29))</f>
        <v>18.999999999999996</v>
      </c>
      <c r="U29" s="19">
        <f t="shared" si="4"/>
        <v>33.36</v>
      </c>
      <c r="V29" s="8"/>
      <c r="W29" s="22">
        <f t="shared" si="1"/>
        <v>53.88512</v>
      </c>
      <c r="X29" s="30"/>
      <c r="Y29" s="22">
        <f>((G29-I29)/((G29-I29)+U29))*100</f>
        <v>57.15863674424405</v>
      </c>
      <c r="Z29" s="20"/>
      <c r="AA29" s="22">
        <f>(U29/((G29-I29)+U29))*100</f>
        <v>42.841363255755944</v>
      </c>
      <c r="AB29" s="2"/>
      <c r="AC29" s="2"/>
    </row>
    <row r="30" spans="1:28" ht="15">
      <c r="A30" s="12" t="s">
        <v>16</v>
      </c>
      <c r="C30" s="8" t="s">
        <v>25</v>
      </c>
      <c r="D30" s="19"/>
      <c r="E30" s="19">
        <v>37.5</v>
      </c>
      <c r="F30" s="20"/>
      <c r="G30" s="19">
        <f t="shared" si="3"/>
        <v>160</v>
      </c>
      <c r="H30" s="19"/>
      <c r="I30" s="21">
        <v>100</v>
      </c>
      <c r="J30" s="21"/>
      <c r="K30" s="19"/>
      <c r="L30" s="20"/>
      <c r="M30" s="19">
        <f>42*1.025</f>
        <v>43.05</v>
      </c>
      <c r="N30" s="19"/>
      <c r="O30" s="19"/>
      <c r="P30" s="19"/>
      <c r="Q30" s="19"/>
      <c r="R30" s="19"/>
      <c r="S30" s="19"/>
      <c r="T30" s="20"/>
      <c r="U30" s="19">
        <f>I30/2*M30/100</f>
        <v>21.525</v>
      </c>
      <c r="V30" s="19"/>
      <c r="W30" s="22">
        <f t="shared" si="1"/>
        <v>50.953125</v>
      </c>
      <c r="X30" s="22"/>
      <c r="Y30" s="22">
        <f t="shared" si="0"/>
        <v>73.59705611775529</v>
      </c>
      <c r="Z30" s="20"/>
      <c r="AA30" s="22">
        <f t="shared" si="2"/>
        <v>26.402943882244706</v>
      </c>
      <c r="AB30" s="20"/>
    </row>
    <row r="31" spans="1:28" ht="15">
      <c r="A31" s="12" t="s">
        <v>17</v>
      </c>
      <c r="C31" s="8" t="s">
        <v>2</v>
      </c>
      <c r="D31" s="19"/>
      <c r="E31" s="19">
        <v>35</v>
      </c>
      <c r="F31" s="20"/>
      <c r="G31" s="19">
        <f t="shared" si="3"/>
        <v>153.84615384615384</v>
      </c>
      <c r="H31" s="19"/>
      <c r="I31" s="21">
        <v>100</v>
      </c>
      <c r="J31" s="21"/>
      <c r="K31" s="19"/>
      <c r="L31" s="20"/>
      <c r="M31" s="19">
        <v>35</v>
      </c>
      <c r="N31" s="19"/>
      <c r="O31" s="19">
        <f>100/(1-M31/100)</f>
        <v>153.84615384615384</v>
      </c>
      <c r="P31" s="19"/>
      <c r="Q31" s="19">
        <f>(O31-100)/O31*100</f>
        <v>35</v>
      </c>
      <c r="R31" s="19"/>
      <c r="S31" s="19">
        <f>+I31*(Q31/(100-Q31))</f>
        <v>53.84615384615385</v>
      </c>
      <c r="T31" s="20"/>
      <c r="U31" s="19">
        <f t="shared" si="4"/>
        <v>0</v>
      </c>
      <c r="V31" s="19"/>
      <c r="W31" s="22">
        <f t="shared" si="1"/>
        <v>35</v>
      </c>
      <c r="X31" s="22"/>
      <c r="Y31" s="22">
        <f t="shared" si="0"/>
        <v>100</v>
      </c>
      <c r="Z31" s="20"/>
      <c r="AA31" s="22">
        <f t="shared" si="2"/>
        <v>0</v>
      </c>
      <c r="AB31" s="20"/>
    </row>
    <row r="32" spans="1:28" ht="15">
      <c r="A32" s="12" t="s">
        <v>18</v>
      </c>
      <c r="C32" s="8" t="s">
        <v>4</v>
      </c>
      <c r="D32" s="19"/>
      <c r="E32" s="19">
        <v>35</v>
      </c>
      <c r="F32" s="20"/>
      <c r="G32" s="19">
        <f t="shared" si="3"/>
        <v>153.84615384615384</v>
      </c>
      <c r="H32" s="19"/>
      <c r="I32" s="21">
        <v>100</v>
      </c>
      <c r="J32" s="21"/>
      <c r="K32" s="19"/>
      <c r="L32" s="20"/>
      <c r="M32" s="19">
        <v>25</v>
      </c>
      <c r="N32" s="19"/>
      <c r="O32" s="19"/>
      <c r="P32" s="19"/>
      <c r="Q32" s="19"/>
      <c r="R32" s="19"/>
      <c r="S32" s="19"/>
      <c r="T32" s="20"/>
      <c r="U32" s="19">
        <f t="shared" si="4"/>
        <v>25</v>
      </c>
      <c r="V32" s="19"/>
      <c r="W32" s="22">
        <f t="shared" si="1"/>
        <v>51.24999999999999</v>
      </c>
      <c r="X32" s="22"/>
      <c r="Y32" s="22">
        <f t="shared" si="0"/>
        <v>68.29268292682926</v>
      </c>
      <c r="Z32" s="20"/>
      <c r="AA32" s="22">
        <f t="shared" si="2"/>
        <v>31.70731707317073</v>
      </c>
      <c r="AB32" s="20"/>
    </row>
    <row r="33" spans="1:28" ht="16.5">
      <c r="A33" s="12" t="s">
        <v>71</v>
      </c>
      <c r="C33" s="8" t="s">
        <v>2</v>
      </c>
      <c r="D33" s="19"/>
      <c r="E33" s="19">
        <v>33</v>
      </c>
      <c r="F33" s="20"/>
      <c r="G33" s="19">
        <f t="shared" si="3"/>
        <v>149.2537313432836</v>
      </c>
      <c r="H33" s="19"/>
      <c r="I33" s="21">
        <v>100</v>
      </c>
      <c r="J33" s="21"/>
      <c r="K33" s="19"/>
      <c r="L33" s="20"/>
      <c r="M33" s="19">
        <v>39</v>
      </c>
      <c r="N33" s="19"/>
      <c r="O33" s="19">
        <v>149.3</v>
      </c>
      <c r="P33" s="19"/>
      <c r="Q33" s="19">
        <f>(O33-100)/O33*100</f>
        <v>33.02076356329538</v>
      </c>
      <c r="R33" s="19"/>
      <c r="S33" s="19">
        <f>+I33*(Q33/(100-Q33))</f>
        <v>49.30000000000002</v>
      </c>
      <c r="T33" s="20"/>
      <c r="U33" s="19">
        <f>+(M33/100)*MAX(I33,O33)-S33</f>
        <v>8.926999999999985</v>
      </c>
      <c r="V33" s="19"/>
      <c r="W33" s="22">
        <f t="shared" si="1"/>
        <v>38.981089999999995</v>
      </c>
      <c r="X33" s="22"/>
      <c r="Y33" s="22">
        <f t="shared" si="0"/>
        <v>84.65643213157972</v>
      </c>
      <c r="Z33" s="20"/>
      <c r="AA33" s="22">
        <f t="shared" si="2"/>
        <v>15.34356786842028</v>
      </c>
      <c r="AB33" s="20"/>
    </row>
    <row r="34" spans="1:28" ht="15">
      <c r="A34" s="12" t="s">
        <v>19</v>
      </c>
      <c r="C34" s="8" t="s">
        <v>6</v>
      </c>
      <c r="D34" s="19"/>
      <c r="E34" s="19">
        <v>28</v>
      </c>
      <c r="F34" s="20"/>
      <c r="G34" s="19">
        <f t="shared" si="3"/>
        <v>138.88888888888889</v>
      </c>
      <c r="H34" s="19"/>
      <c r="I34" s="21">
        <v>100</v>
      </c>
      <c r="J34" s="21"/>
      <c r="K34" s="19"/>
      <c r="L34" s="20"/>
      <c r="M34" s="19">
        <v>28</v>
      </c>
      <c r="N34" s="19"/>
      <c r="O34" s="19">
        <v>123.613</v>
      </c>
      <c r="P34" s="19"/>
      <c r="Q34" s="19">
        <f>(O34-100)/O34*100</f>
        <v>19.102359784165095</v>
      </c>
      <c r="R34" s="19"/>
      <c r="S34" s="19">
        <f>+I34*(Q34/(100-Q34))</f>
        <v>23.613</v>
      </c>
      <c r="T34" s="20"/>
      <c r="U34" s="19">
        <f>+(M34/100)*MAX(I34,O34)-S34</f>
        <v>10.998640000000002</v>
      </c>
      <c r="V34" s="19"/>
      <c r="W34" s="22">
        <f t="shared" si="1"/>
        <v>35.9190208</v>
      </c>
      <c r="X34" s="22"/>
      <c r="Y34" s="22">
        <f t="shared" si="0"/>
        <v>77.95312727456088</v>
      </c>
      <c r="Z34" s="20"/>
      <c r="AA34" s="22">
        <f t="shared" si="2"/>
        <v>22.046872725439112</v>
      </c>
      <c r="AB34" s="20"/>
    </row>
    <row r="35" spans="1:28" ht="15">
      <c r="A35" s="12" t="s">
        <v>36</v>
      </c>
      <c r="C35" s="8" t="s">
        <v>29</v>
      </c>
      <c r="E35" s="19">
        <v>28</v>
      </c>
      <c r="F35" s="20"/>
      <c r="G35" s="19">
        <f t="shared" si="3"/>
        <v>138.88888888888889</v>
      </c>
      <c r="H35" s="22"/>
      <c r="I35" s="21">
        <v>100</v>
      </c>
      <c r="J35" s="23"/>
      <c r="K35" s="19">
        <v>15</v>
      </c>
      <c r="L35" s="19">
        <v>15</v>
      </c>
      <c r="M35" s="19">
        <v>15</v>
      </c>
      <c r="N35" s="19"/>
      <c r="O35" s="19"/>
      <c r="P35" s="19"/>
      <c r="Q35" s="19"/>
      <c r="R35" s="19"/>
      <c r="S35" s="19"/>
      <c r="T35" s="20"/>
      <c r="U35" s="19">
        <f>+(M35/100)*MAX(I35,O35)-S35</f>
        <v>15</v>
      </c>
      <c r="V35" s="19"/>
      <c r="W35" s="22">
        <f t="shared" si="1"/>
        <v>38.800000000000004</v>
      </c>
      <c r="X35" s="20"/>
      <c r="Y35" s="22">
        <f t="shared" si="0"/>
        <v>72.16494845360825</v>
      </c>
      <c r="AA35" s="22">
        <f t="shared" si="2"/>
        <v>27.835051546391753</v>
      </c>
      <c r="AB35" s="20"/>
    </row>
    <row r="36" spans="1:28" ht="15">
      <c r="A36" s="12" t="s">
        <v>20</v>
      </c>
      <c r="C36" s="8" t="s">
        <v>29</v>
      </c>
      <c r="D36" s="19"/>
      <c r="E36" s="19">
        <v>35.2</v>
      </c>
      <c r="F36" s="20"/>
      <c r="G36" s="19">
        <f t="shared" si="3"/>
        <v>154.32098765432102</v>
      </c>
      <c r="H36" s="19"/>
      <c r="I36" s="21">
        <v>100</v>
      </c>
      <c r="J36" s="21"/>
      <c r="K36" s="19">
        <v>25</v>
      </c>
      <c r="L36" s="20"/>
      <c r="M36" s="19">
        <v>25</v>
      </c>
      <c r="N36" s="19"/>
      <c r="O36" s="19"/>
      <c r="P36" s="19"/>
      <c r="Q36" s="19"/>
      <c r="R36" s="19"/>
      <c r="S36" s="19"/>
      <c r="T36" s="20"/>
      <c r="U36" s="19">
        <f t="shared" si="4"/>
        <v>25</v>
      </c>
      <c r="V36" s="19"/>
      <c r="W36" s="22">
        <f t="shared" si="1"/>
        <v>51.40000000000001</v>
      </c>
      <c r="X36" s="22"/>
      <c r="Y36" s="22">
        <f t="shared" si="0"/>
        <v>68.48249027237355</v>
      </c>
      <c r="Z36" s="20"/>
      <c r="AA36" s="22">
        <f t="shared" si="2"/>
        <v>31.517509727626447</v>
      </c>
      <c r="AB36" s="20"/>
    </row>
    <row r="37" spans="1:28" ht="15">
      <c r="A37" s="12" t="s">
        <v>21</v>
      </c>
      <c r="C37" s="8" t="s">
        <v>4</v>
      </c>
      <c r="E37" s="19">
        <v>29</v>
      </c>
      <c r="F37" s="20"/>
      <c r="G37" s="19">
        <f t="shared" si="3"/>
        <v>140.84507042253523</v>
      </c>
      <c r="H37" s="22"/>
      <c r="I37" s="21">
        <v>100</v>
      </c>
      <c r="J37" s="23"/>
      <c r="K37" s="22">
        <v>15</v>
      </c>
      <c r="L37" s="20"/>
      <c r="M37" s="19">
        <v>15</v>
      </c>
      <c r="N37" s="19"/>
      <c r="O37" s="19"/>
      <c r="P37" s="19"/>
      <c r="Q37" s="19"/>
      <c r="R37" s="19"/>
      <c r="S37" s="19"/>
      <c r="T37" s="20"/>
      <c r="U37" s="19">
        <f t="shared" si="4"/>
        <v>15</v>
      </c>
      <c r="V37" s="19"/>
      <c r="W37" s="22">
        <f t="shared" si="1"/>
        <v>39.650000000000006</v>
      </c>
      <c r="X37" s="20"/>
      <c r="Y37" s="22">
        <f t="shared" si="0"/>
        <v>73.13997477931905</v>
      </c>
      <c r="AA37" s="22">
        <f t="shared" si="2"/>
        <v>26.86002522068095</v>
      </c>
      <c r="AB37" s="20"/>
    </row>
    <row r="38" spans="1:28" ht="15">
      <c r="A38" s="12" t="s">
        <v>42</v>
      </c>
      <c r="C38" s="8" t="s">
        <v>25</v>
      </c>
      <c r="E38" s="8">
        <v>25</v>
      </c>
      <c r="G38" s="19">
        <v>133.33333333333334</v>
      </c>
      <c r="H38" s="24"/>
      <c r="I38" s="21">
        <v>100</v>
      </c>
      <c r="J38" s="23"/>
      <c r="K38" s="24"/>
      <c r="M38" s="19">
        <v>50</v>
      </c>
      <c r="N38" s="19"/>
      <c r="O38" s="19"/>
      <c r="P38" s="19"/>
      <c r="Q38" s="19"/>
      <c r="R38" s="19"/>
      <c r="S38" s="19"/>
      <c r="T38" s="20"/>
      <c r="U38" s="19">
        <v>30</v>
      </c>
      <c r="V38" s="19"/>
      <c r="W38" s="22">
        <v>47.5</v>
      </c>
      <c r="X38" s="20"/>
      <c r="Y38" s="22">
        <v>52.63157894736843</v>
      </c>
      <c r="Z38" s="20"/>
      <c r="AA38" s="22">
        <v>47.36842105263157</v>
      </c>
      <c r="AB38" s="20"/>
    </row>
    <row r="39" spans="1:28" ht="15">
      <c r="A39" s="12" t="s">
        <v>22</v>
      </c>
      <c r="C39" s="8" t="s">
        <v>6</v>
      </c>
      <c r="D39" s="19"/>
      <c r="E39" s="19">
        <v>35</v>
      </c>
      <c r="F39" s="20"/>
      <c r="G39" s="19">
        <f t="shared" si="3"/>
        <v>153.84615384615384</v>
      </c>
      <c r="H39" s="19"/>
      <c r="I39" s="21">
        <v>100</v>
      </c>
      <c r="J39" s="21"/>
      <c r="K39" s="19"/>
      <c r="L39" s="20"/>
      <c r="M39" s="19">
        <v>48</v>
      </c>
      <c r="N39" s="19"/>
      <c r="O39" s="19">
        <v>140</v>
      </c>
      <c r="P39" s="19"/>
      <c r="Q39" s="19">
        <f>(O39-100)/O39*100</f>
        <v>28.57142857142857</v>
      </c>
      <c r="R39" s="19"/>
      <c r="S39" s="19">
        <f>+I39*(Q39/(100-Q39))</f>
        <v>40</v>
      </c>
      <c r="T39" s="20"/>
      <c r="U39" s="19">
        <f t="shared" si="4"/>
        <v>27.200000000000003</v>
      </c>
      <c r="V39" s="19"/>
      <c r="W39" s="22">
        <f t="shared" si="1"/>
        <v>52.68000000000001</v>
      </c>
      <c r="X39" s="22"/>
      <c r="Y39" s="22">
        <f t="shared" si="0"/>
        <v>66.43887623386485</v>
      </c>
      <c r="Z39" s="20"/>
      <c r="AA39" s="22">
        <f t="shared" si="2"/>
        <v>33.56112376613516</v>
      </c>
      <c r="AB39" s="20"/>
    </row>
    <row r="40" spans="1:28" ht="15">
      <c r="A40" s="12" t="s">
        <v>23</v>
      </c>
      <c r="C40" s="8" t="s">
        <v>4</v>
      </c>
      <c r="D40" s="19"/>
      <c r="E40" s="19">
        <v>28</v>
      </c>
      <c r="F40" s="20"/>
      <c r="G40" s="19">
        <f t="shared" si="3"/>
        <v>138.88888888888889</v>
      </c>
      <c r="H40" s="19"/>
      <c r="I40" s="21">
        <v>100</v>
      </c>
      <c r="J40" s="21"/>
      <c r="K40" s="19"/>
      <c r="L40" s="20"/>
      <c r="M40" s="19">
        <v>30</v>
      </c>
      <c r="N40" s="19"/>
      <c r="O40" s="19"/>
      <c r="P40" s="19"/>
      <c r="Q40" s="19"/>
      <c r="R40" s="19"/>
      <c r="S40" s="19"/>
      <c r="T40" s="20"/>
      <c r="U40" s="19">
        <f t="shared" si="4"/>
        <v>30</v>
      </c>
      <c r="V40" s="19"/>
      <c r="W40" s="22">
        <f t="shared" si="1"/>
        <v>49.6</v>
      </c>
      <c r="X40" s="22"/>
      <c r="Y40" s="22">
        <f t="shared" si="0"/>
        <v>56.4516129032258</v>
      </c>
      <c r="Z40" s="20"/>
      <c r="AA40" s="22">
        <f t="shared" si="2"/>
        <v>43.54838709677419</v>
      </c>
      <c r="AB40" s="20"/>
    </row>
    <row r="41" spans="1:28" ht="16.5">
      <c r="A41" s="12" t="s">
        <v>72</v>
      </c>
      <c r="C41" s="8" t="s">
        <v>4</v>
      </c>
      <c r="D41" s="19"/>
      <c r="E41" s="19">
        <v>24.699362203597865</v>
      </c>
      <c r="F41" s="20"/>
      <c r="G41" s="19">
        <f t="shared" si="3"/>
        <v>132.801</v>
      </c>
      <c r="H41" s="19"/>
      <c r="I41" s="21">
        <v>100</v>
      </c>
      <c r="J41" s="21"/>
      <c r="K41" s="19"/>
      <c r="L41" s="20"/>
      <c r="M41" s="19">
        <f>13*(1.26+1.05)+11.5</f>
        <v>41.53</v>
      </c>
      <c r="N41" s="19"/>
      <c r="O41" s="19"/>
      <c r="P41" s="19"/>
      <c r="Q41" s="19"/>
      <c r="R41" s="19"/>
      <c r="S41" s="19"/>
      <c r="T41" s="20"/>
      <c r="U41" s="19">
        <f t="shared" si="4"/>
        <v>41.53</v>
      </c>
      <c r="V41" s="19"/>
      <c r="W41" s="22">
        <f t="shared" si="1"/>
        <v>55.971717080443675</v>
      </c>
      <c r="X41" s="22"/>
      <c r="Y41" s="22">
        <f t="shared" si="0"/>
        <v>44.128291022588144</v>
      </c>
      <c r="Z41" s="20"/>
      <c r="AA41" s="22">
        <f t="shared" si="2"/>
        <v>55.87170897741186</v>
      </c>
      <c r="AB41" s="20"/>
    </row>
    <row r="42" spans="1:28" ht="16.5">
      <c r="A42" s="12" t="s">
        <v>73</v>
      </c>
      <c r="C42" s="8" t="s">
        <v>6</v>
      </c>
      <c r="E42" s="19">
        <v>33</v>
      </c>
      <c r="F42" s="20"/>
      <c r="G42" s="19">
        <f t="shared" si="3"/>
        <v>149.2537313432836</v>
      </c>
      <c r="H42" s="19"/>
      <c r="I42" s="21">
        <v>100</v>
      </c>
      <c r="J42" s="21"/>
      <c r="K42" s="19">
        <v>16.5</v>
      </c>
      <c r="L42" s="20"/>
      <c r="M42" s="19">
        <v>49.5</v>
      </c>
      <c r="N42" s="19"/>
      <c r="O42" s="19">
        <v>100.2</v>
      </c>
      <c r="P42" s="19"/>
      <c r="Q42" s="19"/>
      <c r="R42" s="19"/>
      <c r="S42" s="19">
        <f>((100-K42)/5)*1.1</f>
        <v>18.37</v>
      </c>
      <c r="T42" s="20"/>
      <c r="U42" s="19">
        <f t="shared" si="4"/>
        <v>31.229000000000003</v>
      </c>
      <c r="V42" s="19"/>
      <c r="W42" s="22">
        <f>(G42-I42+K42+U42)/G42*100</f>
        <v>64.97843</v>
      </c>
      <c r="X42" s="20"/>
      <c r="Y42" s="22">
        <f>((G42-I42)/((G42-I42)+K42+U42))*100</f>
        <v>50.786083935853796</v>
      </c>
      <c r="Z42" s="20"/>
      <c r="AA42" s="22">
        <f>((U42+K42)/((G42-I42)+K42+U42))*100</f>
        <v>49.213916064146204</v>
      </c>
      <c r="AB42" s="20"/>
    </row>
    <row r="43" spans="1:28" ht="16.5">
      <c r="A43" s="12" t="s">
        <v>74</v>
      </c>
      <c r="C43" s="8" t="s">
        <v>6</v>
      </c>
      <c r="D43" s="8"/>
      <c r="E43" s="19">
        <v>30</v>
      </c>
      <c r="F43" s="20"/>
      <c r="G43" s="19">
        <f t="shared" si="3"/>
        <v>142.85714285714286</v>
      </c>
      <c r="H43" s="19"/>
      <c r="I43" s="21">
        <v>100</v>
      </c>
      <c r="J43" s="21"/>
      <c r="K43" s="19"/>
      <c r="L43" s="20"/>
      <c r="M43" s="19">
        <v>32.5</v>
      </c>
      <c r="N43" s="19"/>
      <c r="O43" s="19">
        <v>111.11</v>
      </c>
      <c r="P43" s="19"/>
      <c r="Q43" s="19">
        <f>(O43-100)/O43*100</f>
        <v>9.99909999099991</v>
      </c>
      <c r="R43" s="19"/>
      <c r="S43" s="19">
        <f>+I43*(Q43/(100-Q43))</f>
        <v>11.110000000000001</v>
      </c>
      <c r="T43" s="20"/>
      <c r="U43" s="19">
        <f>+(M43/100)*MAX(I43,O43)-S43</f>
        <v>25.000750000000004</v>
      </c>
      <c r="V43" s="19"/>
      <c r="W43" s="22">
        <f t="shared" si="1"/>
        <v>47.50052500000001</v>
      </c>
      <c r="X43" s="22"/>
      <c r="Y43" s="22">
        <f t="shared" si="0"/>
        <v>63.15719668361559</v>
      </c>
      <c r="Z43" s="20"/>
      <c r="AA43" s="22">
        <f t="shared" si="2"/>
        <v>36.84280331638439</v>
      </c>
      <c r="AB43" s="20"/>
    </row>
    <row r="44" spans="1:28" ht="16.5">
      <c r="A44" s="12" t="s">
        <v>75</v>
      </c>
      <c r="C44" s="8" t="s">
        <v>4</v>
      </c>
      <c r="D44" s="19"/>
      <c r="E44" s="19">
        <v>39.3</v>
      </c>
      <c r="F44" s="20"/>
      <c r="G44" s="19">
        <f t="shared" si="3"/>
        <v>164.74464579901155</v>
      </c>
      <c r="H44" s="19"/>
      <c r="I44" s="21">
        <v>100</v>
      </c>
      <c r="J44" s="21"/>
      <c r="K44" s="19"/>
      <c r="L44" s="20"/>
      <c r="M44" s="19">
        <v>45.5</v>
      </c>
      <c r="N44" s="19"/>
      <c r="O44" s="19"/>
      <c r="P44" s="19"/>
      <c r="Q44" s="19"/>
      <c r="R44" s="19"/>
      <c r="S44" s="19"/>
      <c r="T44" s="20"/>
      <c r="U44" s="19">
        <f>+(M44/100)*MAX(I44,O44)-S44</f>
        <v>45.5</v>
      </c>
      <c r="V44" s="19"/>
      <c r="W44" s="22">
        <f t="shared" si="1"/>
        <v>66.91850000000001</v>
      </c>
      <c r="X44" s="22"/>
      <c r="Y44" s="22">
        <f t="shared" si="0"/>
        <v>58.72815439676622</v>
      </c>
      <c r="Z44" s="20"/>
      <c r="AA44" s="22">
        <f t="shared" si="2"/>
        <v>41.27184560323378</v>
      </c>
      <c r="AB44" s="20"/>
    </row>
    <row r="45" spans="1:28" ht="5.25" customHeight="1" thickBot="1">
      <c r="A45" s="28"/>
      <c r="B45" s="28"/>
      <c r="C45" s="28"/>
      <c r="D45" s="28"/>
      <c r="E45" s="28"/>
      <c r="F45" s="28"/>
      <c r="G45" s="28"/>
      <c r="H45" s="28"/>
      <c r="I45" s="28"/>
      <c r="J45" s="28"/>
      <c r="K45" s="28"/>
      <c r="L45" s="28"/>
      <c r="M45" s="28"/>
      <c r="N45" s="28"/>
      <c r="O45" s="28"/>
      <c r="P45" s="28"/>
      <c r="Q45" s="28"/>
      <c r="R45" s="28"/>
      <c r="S45" s="28"/>
      <c r="T45" s="28"/>
      <c r="U45" s="29"/>
      <c r="V45" s="28"/>
      <c r="W45" s="28"/>
      <c r="X45" s="28"/>
      <c r="Y45" s="28"/>
      <c r="Z45" s="28"/>
      <c r="AA45" s="28"/>
      <c r="AB45" s="28"/>
    </row>
    <row r="46" ht="5.25" customHeight="1"/>
    <row r="47" ht="12.75" customHeight="1"/>
    <row r="48" ht="12.75" customHeight="1">
      <c r="A48" s="12"/>
    </row>
    <row r="49" spans="1:3" ht="12.75" customHeight="1">
      <c r="A49" s="53"/>
      <c r="B49" s="53"/>
      <c r="C49" s="53"/>
    </row>
    <row r="50" ht="12.75" customHeight="1"/>
    <row r="51" ht="12.75" customHeight="1"/>
    <row r="52" ht="12.75" customHeight="1"/>
    <row r="53" ht="12.75" customHeight="1"/>
    <row r="54" ht="12.75" customHeight="1"/>
    <row r="55" ht="12.75" customHeight="1"/>
    <row r="56" ht="12.75" customHeight="1"/>
  </sheetData>
  <sheetProtection/>
  <mergeCells count="14">
    <mergeCell ref="I5:I8"/>
    <mergeCell ref="K5:K8"/>
    <mergeCell ref="M5:M8"/>
    <mergeCell ref="O5:O8"/>
    <mergeCell ref="A49:C49"/>
    <mergeCell ref="C5:C8"/>
    <mergeCell ref="E5:E8"/>
    <mergeCell ref="G5:G8"/>
    <mergeCell ref="Q5:Q8"/>
    <mergeCell ref="AA5:AA8"/>
    <mergeCell ref="S5:S8"/>
    <mergeCell ref="U5:U8"/>
    <mergeCell ref="W5:W8"/>
    <mergeCell ref="Y5:Y8"/>
  </mergeCells>
  <printOptions/>
  <pageMargins left="0.25" right="0.25" top="1" bottom="1" header="0.3" footer="0.3"/>
  <pageSetup fitToHeight="1" fitToWidth="1" horizontalDpi="600" verticalDpi="600" orientation="portrait" paperSize="9" scale="55"/>
  <rowBreaks count="1" manualBreakCount="1">
    <brk id="47" max="26" man="1"/>
  </rowBreaks>
  <ignoredErrors>
    <ignoredError sqref="U12 U21 U30 W28 W42 Y42 AA42" formula="1"/>
  </ignoredErrors>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B56"/>
  <sheetViews>
    <sheetView showGridLines="0" zoomScalePageLayoutView="0" workbookViewId="0" topLeftCell="A1">
      <selection activeCell="F14" sqref="F14"/>
    </sheetView>
  </sheetViews>
  <sheetFormatPr defaultColWidth="9.140625" defaultRowHeight="12.75"/>
  <cols>
    <col min="1" max="1" width="16.14062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5.28125" style="2" customWidth="1"/>
    <col min="10" max="10" width="0.85546875" style="2" customWidth="1"/>
    <col min="11" max="11" width="10.14062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421875" style="2" customWidth="1"/>
    <col min="18" max="18" width="0.85546875" style="2" customWidth="1"/>
    <col min="19" max="19" width="12.421875" style="2" customWidth="1"/>
    <col min="20" max="20" width="0.85546875" style="2" customWidth="1"/>
    <col min="21" max="21" width="8.7109375" style="4" customWidth="1"/>
    <col min="22" max="22" width="0.85546875" style="2" customWidth="1"/>
    <col min="23" max="23" width="8.140625" style="2" customWidth="1"/>
    <col min="24" max="24" width="0.9921875" style="2" customWidth="1"/>
    <col min="25" max="25" width="7.421875" style="2" customWidth="1"/>
    <col min="26" max="26" width="0.85546875" style="2" customWidth="1"/>
    <col min="27" max="27" width="7.421875" style="2" customWidth="1"/>
    <col min="28" max="28" width="0.9921875" style="2" customWidth="1"/>
    <col min="29" max="16384" width="9.140625" style="2" customWidth="1"/>
  </cols>
  <sheetData>
    <row r="1" spans="1:3" ht="15" customHeight="1">
      <c r="A1" s="1">
        <v>41680</v>
      </c>
      <c r="C1" s="3"/>
    </row>
    <row r="2" spans="1:27" ht="15" customHeight="1">
      <c r="A2" s="5" t="s">
        <v>45</v>
      </c>
      <c r="B2" s="6"/>
      <c r="C2" s="6"/>
      <c r="D2" s="6"/>
      <c r="E2" s="6"/>
      <c r="F2" s="6"/>
      <c r="G2" s="6"/>
      <c r="H2" s="6"/>
      <c r="I2" s="6"/>
      <c r="J2" s="6"/>
      <c r="K2" s="6"/>
      <c r="L2" s="6"/>
      <c r="M2" s="6"/>
      <c r="N2" s="6"/>
      <c r="O2" s="6"/>
      <c r="P2" s="6"/>
      <c r="Q2" s="6"/>
      <c r="R2" s="6"/>
      <c r="S2" s="6"/>
      <c r="T2" s="6"/>
      <c r="U2" s="6"/>
      <c r="V2" s="6"/>
      <c r="W2" s="6"/>
      <c r="X2" s="6"/>
      <c r="Y2" s="6"/>
      <c r="Z2" s="6"/>
      <c r="AA2" s="6"/>
    </row>
    <row r="3" spans="1:28" s="8" customFormat="1" ht="15" customHeight="1" thickBot="1">
      <c r="A3" s="7"/>
      <c r="B3" s="7"/>
      <c r="C3" s="7"/>
      <c r="D3" s="7"/>
      <c r="E3" s="7"/>
      <c r="F3" s="7"/>
      <c r="G3" s="7"/>
      <c r="H3" s="7"/>
      <c r="I3" s="7"/>
      <c r="J3" s="7"/>
      <c r="K3" s="7"/>
      <c r="L3" s="7"/>
      <c r="M3" s="7"/>
      <c r="N3" s="7"/>
      <c r="O3" s="7"/>
      <c r="P3" s="7"/>
      <c r="Q3" s="7"/>
      <c r="R3" s="7"/>
      <c r="S3" s="7"/>
      <c r="T3" s="7"/>
      <c r="U3" s="7"/>
      <c r="V3" s="7"/>
      <c r="W3" s="7"/>
      <c r="X3" s="7"/>
      <c r="Y3" s="7"/>
      <c r="Z3" s="7"/>
      <c r="AA3" s="7"/>
      <c r="AB3" s="7"/>
    </row>
    <row r="4" ht="15" customHeight="1"/>
    <row r="5" spans="1:28" s="12" customFormat="1" ht="15" customHeight="1">
      <c r="A5" s="9"/>
      <c r="B5" s="9"/>
      <c r="C5" s="51" t="s">
        <v>0</v>
      </c>
      <c r="D5" s="10"/>
      <c r="E5" s="51" t="s">
        <v>46</v>
      </c>
      <c r="F5" s="11"/>
      <c r="G5" s="51" t="s">
        <v>47</v>
      </c>
      <c r="H5" s="11"/>
      <c r="I5" s="51" t="s">
        <v>48</v>
      </c>
      <c r="J5" s="10"/>
      <c r="K5" s="51" t="s">
        <v>49</v>
      </c>
      <c r="L5" s="11"/>
      <c r="M5" s="51" t="s">
        <v>50</v>
      </c>
      <c r="N5" s="10"/>
      <c r="O5" s="51" t="s">
        <v>51</v>
      </c>
      <c r="P5" s="11"/>
      <c r="Q5" s="51" t="s">
        <v>52</v>
      </c>
      <c r="R5" s="11"/>
      <c r="S5" s="51" t="s">
        <v>53</v>
      </c>
      <c r="T5" s="11"/>
      <c r="U5" s="51" t="s">
        <v>54</v>
      </c>
      <c r="V5" s="10"/>
      <c r="W5" s="51" t="s">
        <v>55</v>
      </c>
      <c r="Y5" s="51" t="s">
        <v>56</v>
      </c>
      <c r="AA5" s="51" t="s">
        <v>57</v>
      </c>
      <c r="AB5" s="10"/>
    </row>
    <row r="6" spans="2:28" s="12" customFormat="1" ht="15" customHeight="1">
      <c r="B6" s="9"/>
      <c r="C6" s="52"/>
      <c r="D6" s="10"/>
      <c r="E6" s="52"/>
      <c r="F6" s="11"/>
      <c r="G6" s="52"/>
      <c r="H6" s="11"/>
      <c r="I6" s="52"/>
      <c r="J6" s="10"/>
      <c r="K6" s="52"/>
      <c r="L6" s="11"/>
      <c r="M6" s="52"/>
      <c r="N6" s="13"/>
      <c r="O6" s="52"/>
      <c r="P6" s="11"/>
      <c r="Q6" s="52"/>
      <c r="R6" s="11"/>
      <c r="S6" s="52"/>
      <c r="T6" s="11"/>
      <c r="U6" s="52"/>
      <c r="V6" s="10"/>
      <c r="W6" s="52"/>
      <c r="Y6" s="52"/>
      <c r="AA6" s="52"/>
      <c r="AB6" s="10"/>
    </row>
    <row r="7" spans="1:28" s="12" customFormat="1" ht="15" customHeight="1">
      <c r="A7" s="14"/>
      <c r="B7" s="9"/>
      <c r="C7" s="52"/>
      <c r="D7" s="10"/>
      <c r="E7" s="52"/>
      <c r="F7" s="11"/>
      <c r="G7" s="52"/>
      <c r="H7" s="11"/>
      <c r="I7" s="52"/>
      <c r="J7" s="10"/>
      <c r="K7" s="52"/>
      <c r="L7" s="11"/>
      <c r="M7" s="52"/>
      <c r="N7" s="13"/>
      <c r="O7" s="52"/>
      <c r="P7" s="11"/>
      <c r="Q7" s="52"/>
      <c r="R7" s="11"/>
      <c r="S7" s="52"/>
      <c r="T7" s="11"/>
      <c r="U7" s="52"/>
      <c r="V7" s="10"/>
      <c r="W7" s="52"/>
      <c r="Y7" s="52"/>
      <c r="AA7" s="52"/>
      <c r="AB7" s="10"/>
    </row>
    <row r="8" spans="1:28" s="12" customFormat="1" ht="15" customHeight="1">
      <c r="A8" s="14" t="s">
        <v>1</v>
      </c>
      <c r="B8" s="9"/>
      <c r="C8" s="52"/>
      <c r="D8" s="10"/>
      <c r="E8" s="52"/>
      <c r="F8" s="11"/>
      <c r="G8" s="52"/>
      <c r="H8" s="11"/>
      <c r="I8" s="52"/>
      <c r="J8" s="10"/>
      <c r="K8" s="52"/>
      <c r="L8" s="11"/>
      <c r="M8" s="52"/>
      <c r="N8" s="13"/>
      <c r="O8" s="52"/>
      <c r="P8" s="11"/>
      <c r="Q8" s="52"/>
      <c r="R8" s="11"/>
      <c r="S8" s="52"/>
      <c r="T8" s="11"/>
      <c r="U8" s="52"/>
      <c r="V8" s="10"/>
      <c r="W8" s="52"/>
      <c r="Y8" s="52"/>
      <c r="AA8" s="52"/>
      <c r="AB8" s="10"/>
    </row>
    <row r="9" spans="1:28" ht="15" customHeight="1">
      <c r="A9" s="15"/>
      <c r="B9" s="15"/>
      <c r="C9" s="16"/>
      <c r="D9" s="17"/>
      <c r="E9" s="16"/>
      <c r="F9" s="18"/>
      <c r="G9" s="16"/>
      <c r="H9" s="18"/>
      <c r="I9" s="16"/>
      <c r="J9" s="17"/>
      <c r="K9" s="16"/>
      <c r="L9" s="18"/>
      <c r="M9" s="16"/>
      <c r="N9" s="16"/>
      <c r="O9" s="18"/>
      <c r="P9" s="18"/>
      <c r="Q9" s="18"/>
      <c r="R9" s="18"/>
      <c r="S9" s="18"/>
      <c r="T9" s="18"/>
      <c r="U9" s="15"/>
      <c r="V9" s="17"/>
      <c r="W9" s="16"/>
      <c r="X9" s="16"/>
      <c r="Y9" s="16"/>
      <c r="Z9" s="16"/>
      <c r="AA9" s="16"/>
      <c r="AB9" s="16"/>
    </row>
    <row r="10" ht="15" customHeight="1"/>
    <row r="11" spans="1:28" ht="12.75">
      <c r="A11" s="12" t="s">
        <v>58</v>
      </c>
      <c r="C11" s="8" t="s">
        <v>2</v>
      </c>
      <c r="E11" s="19">
        <v>34</v>
      </c>
      <c r="F11" s="20"/>
      <c r="G11" s="19">
        <f>100/(1-E11/100)</f>
        <v>151.51515151515153</v>
      </c>
      <c r="H11" s="19"/>
      <c r="I11" s="21">
        <v>100</v>
      </c>
      <c r="J11" s="21"/>
      <c r="K11" s="19"/>
      <c r="L11" s="20"/>
      <c r="M11" s="19">
        <v>48.5</v>
      </c>
      <c r="N11" s="19"/>
      <c r="O11" s="19">
        <v>151.5</v>
      </c>
      <c r="P11" s="19"/>
      <c r="Q11" s="19">
        <f>(O11-100)/O11*100</f>
        <v>33.993399339933994</v>
      </c>
      <c r="R11" s="19"/>
      <c r="S11" s="19">
        <f>+I11*(Q11/(100-Q11))</f>
        <v>51.500000000000014</v>
      </c>
      <c r="T11" s="20"/>
      <c r="U11" s="19">
        <f>+(M11/100)*MAX(I11,O11)-S11</f>
        <v>21.977499999999978</v>
      </c>
      <c r="V11" s="19"/>
      <c r="W11" s="22">
        <f>(G11-I11+U11)/G11*100</f>
        <v>48.50514999999999</v>
      </c>
      <c r="X11" s="20"/>
      <c r="Y11" s="22">
        <f aca="true" t="shared" si="0" ref="Y11:Y43">((G11-I11)/((G11-I11)+U11))*100</f>
        <v>70.0956496372035</v>
      </c>
      <c r="Z11" s="20"/>
      <c r="AA11" s="22">
        <f>(U11/((G11-I11)+U11))*100</f>
        <v>29.9043503627965</v>
      </c>
      <c r="AB11" s="20"/>
    </row>
    <row r="12" spans="1:28" ht="12.75">
      <c r="A12" s="12" t="s">
        <v>3</v>
      </c>
      <c r="C12" s="8" t="s">
        <v>4</v>
      </c>
      <c r="E12" s="19">
        <v>34</v>
      </c>
      <c r="F12" s="20"/>
      <c r="G12" s="19">
        <f>100/(1-E12/100)</f>
        <v>151.51515151515153</v>
      </c>
      <c r="H12" s="19"/>
      <c r="I12" s="21">
        <v>100</v>
      </c>
      <c r="J12" s="21"/>
      <c r="K12" s="19">
        <v>25</v>
      </c>
      <c r="L12" s="20"/>
      <c r="M12" s="19">
        <v>25</v>
      </c>
      <c r="N12" s="19"/>
      <c r="O12" s="19"/>
      <c r="P12" s="19"/>
      <c r="Q12" s="19"/>
      <c r="R12" s="19"/>
      <c r="S12" s="19"/>
      <c r="T12" s="20"/>
      <c r="U12" s="19">
        <f>+(M12/100)*MAX(I12,O12)-S12</f>
        <v>25</v>
      </c>
      <c r="V12" s="19"/>
      <c r="W12" s="22">
        <f>(G12-I12+U12)/G12*100</f>
        <v>50.5</v>
      </c>
      <c r="X12" s="20"/>
      <c r="Y12" s="22">
        <f t="shared" si="0"/>
        <v>67.32673267326733</v>
      </c>
      <c r="Z12" s="20"/>
      <c r="AA12" s="22">
        <f>(U12/((G12-I12)+U12))*100</f>
        <v>32.67326732673267</v>
      </c>
      <c r="AB12" s="20"/>
    </row>
    <row r="13" spans="1:28" ht="12.75">
      <c r="A13" s="12" t="s">
        <v>59</v>
      </c>
      <c r="C13" s="8" t="s">
        <v>4</v>
      </c>
      <c r="E13" s="19">
        <f>39*1.03</f>
        <v>40.17</v>
      </c>
      <c r="F13" s="20"/>
      <c r="G13" s="19">
        <f>100/(1-E13/100)</f>
        <v>167.14023065351827</v>
      </c>
      <c r="H13" s="22"/>
      <c r="I13" s="21">
        <v>100</v>
      </c>
      <c r="J13" s="23"/>
      <c r="K13" s="22"/>
      <c r="L13" s="20"/>
      <c r="M13" s="19">
        <v>15</v>
      </c>
      <c r="N13" s="19"/>
      <c r="O13" s="19"/>
      <c r="P13" s="19"/>
      <c r="Q13" s="19"/>
      <c r="R13" s="19"/>
      <c r="S13" s="19"/>
      <c r="T13" s="20"/>
      <c r="U13" s="19">
        <f>+(M13/100)*MAX(I13,O13)-S13</f>
        <v>15</v>
      </c>
      <c r="V13" s="19"/>
      <c r="W13" s="22">
        <f>(G13-I13+U13)/G13*100</f>
        <v>49.144499999999994</v>
      </c>
      <c r="X13" s="20"/>
      <c r="Y13" s="22">
        <f t="shared" si="0"/>
        <v>81.73854653114793</v>
      </c>
      <c r="Z13" s="20"/>
      <c r="AA13" s="22">
        <f aca="true" t="shared" si="1" ref="AA13:AA43">(U13/((G13-I13)+U13))*100</f>
        <v>18.261453468852064</v>
      </c>
      <c r="AB13" s="20"/>
    </row>
    <row r="14" spans="1:28" ht="12.75">
      <c r="A14" s="12" t="s">
        <v>5</v>
      </c>
      <c r="C14" s="8" t="s">
        <v>6</v>
      </c>
      <c r="E14" s="19">
        <v>42.43</v>
      </c>
      <c r="F14" s="20"/>
      <c r="G14" s="19">
        <f>100/(1-E14/100)</f>
        <v>173.70158068438423</v>
      </c>
      <c r="H14" s="22"/>
      <c r="I14" s="21">
        <v>100</v>
      </c>
      <c r="J14" s="23"/>
      <c r="K14" s="22"/>
      <c r="L14" s="20"/>
      <c r="M14" s="19">
        <f>29+0.05*29+11.16+0.56*11.16</f>
        <v>47.8596</v>
      </c>
      <c r="N14" s="19"/>
      <c r="O14" s="19">
        <f>1.25*I14</f>
        <v>125</v>
      </c>
      <c r="P14" s="19"/>
      <c r="Q14" s="19">
        <f>13.33+0.05*13.33+5.13+0.56*5.13</f>
        <v>21.9993</v>
      </c>
      <c r="R14" s="19"/>
      <c r="S14" s="19">
        <f>O14*Q14/100</f>
        <v>27.499125000000003</v>
      </c>
      <c r="T14" s="20"/>
      <c r="U14" s="19">
        <f>+(M14/100)*MAX(I14,O14)-S14</f>
        <v>32.325374999999994</v>
      </c>
      <c r="V14" s="19"/>
      <c r="W14" s="22">
        <f>(G14-I14+U14)/G14*100</f>
        <v>61.039718387499995</v>
      </c>
      <c r="X14" s="20"/>
      <c r="Y14" s="22">
        <f t="shared" si="0"/>
        <v>69.51211624313297</v>
      </c>
      <c r="Z14" s="20"/>
      <c r="AA14" s="22">
        <f t="shared" si="1"/>
        <v>30.487883756867042</v>
      </c>
      <c r="AB14" s="20"/>
    </row>
    <row r="15" spans="1:28" ht="12.75">
      <c r="A15" s="12" t="s">
        <v>41</v>
      </c>
      <c r="C15" s="8" t="s">
        <v>2</v>
      </c>
      <c r="E15" s="19">
        <v>15</v>
      </c>
      <c r="F15" s="20"/>
      <c r="G15" s="19">
        <v>117.64705882352942</v>
      </c>
      <c r="H15" s="22"/>
      <c r="I15" s="21">
        <v>100</v>
      </c>
      <c r="J15" s="23"/>
      <c r="K15" s="22" t="s">
        <v>34</v>
      </c>
      <c r="L15" s="20"/>
      <c r="M15" s="19">
        <v>45</v>
      </c>
      <c r="N15" s="19"/>
      <c r="O15" s="19">
        <v>117.64705882352942</v>
      </c>
      <c r="P15" s="19"/>
      <c r="Q15" s="19">
        <v>15.000000000000005</v>
      </c>
      <c r="R15" s="19"/>
      <c r="S15" s="19">
        <v>17.647058823529413</v>
      </c>
      <c r="T15" s="20"/>
      <c r="U15" s="19">
        <f>+(M15/100)*MAX(I15,O15)-S15</f>
        <v>35.294117647058826</v>
      </c>
      <c r="V15" s="19"/>
      <c r="W15" s="22">
        <f>(G15-I15+U15)/G15*100</f>
        <v>45.00000000000001</v>
      </c>
      <c r="X15" s="20"/>
      <c r="Y15" s="22">
        <f>((G15-I15)/((G15-I15)+U15))*100</f>
        <v>33.33333333333334</v>
      </c>
      <c r="AA15" s="22">
        <f>(U15/((G15-I15)+U15))*100</f>
        <v>66.66666666666666</v>
      </c>
      <c r="AB15" s="8"/>
    </row>
    <row r="16" spans="1:28" ht="12.75">
      <c r="A16" s="12" t="s">
        <v>7</v>
      </c>
      <c r="C16" s="8" t="s">
        <v>4</v>
      </c>
      <c r="E16" s="19">
        <v>31</v>
      </c>
      <c r="F16" s="20"/>
      <c r="G16" s="19">
        <f aca="true" t="shared" si="2" ref="G16:G44">100/(1-E16/100)</f>
        <v>144.92753623188406</v>
      </c>
      <c r="H16" s="22"/>
      <c r="I16" s="21">
        <v>100</v>
      </c>
      <c r="J16" s="23"/>
      <c r="K16" s="22">
        <v>15</v>
      </c>
      <c r="L16" s="20"/>
      <c r="M16" s="19">
        <v>15</v>
      </c>
      <c r="N16" s="19"/>
      <c r="O16" s="19"/>
      <c r="P16" s="19"/>
      <c r="Q16" s="19"/>
      <c r="R16" s="19"/>
      <c r="S16" s="19"/>
      <c r="T16" s="20"/>
      <c r="U16" s="19">
        <f aca="true" t="shared" si="3" ref="U16:U43">+(M16/100)*MAX(I16,O16)-S16</f>
        <v>15</v>
      </c>
      <c r="V16" s="19"/>
      <c r="W16" s="22">
        <f aca="true" t="shared" si="4" ref="W16:W41">(G16-I16+U16)/G16*100</f>
        <v>41.35</v>
      </c>
      <c r="X16" s="20"/>
      <c r="Y16" s="22">
        <f t="shared" si="0"/>
        <v>74.96977025392987</v>
      </c>
      <c r="Z16" s="20"/>
      <c r="AA16" s="22">
        <f t="shared" si="1"/>
        <v>25.03022974607013</v>
      </c>
      <c r="AB16" s="20"/>
    </row>
    <row r="17" spans="1:28" ht="12.75">
      <c r="A17" s="12" t="s">
        <v>8</v>
      </c>
      <c r="C17" s="8" t="s">
        <v>4</v>
      </c>
      <c r="E17" s="19">
        <v>32</v>
      </c>
      <c r="F17" s="20"/>
      <c r="G17" s="19">
        <f>100/(1-E17/100)</f>
        <v>147.05882352941177</v>
      </c>
      <c r="H17" s="22"/>
      <c r="I17" s="21">
        <v>100</v>
      </c>
      <c r="J17" s="23"/>
      <c r="K17" s="22"/>
      <c r="L17" s="20"/>
      <c r="M17" s="19">
        <v>40</v>
      </c>
      <c r="N17" s="19"/>
      <c r="O17" s="19"/>
      <c r="P17" s="19"/>
      <c r="Q17" s="19"/>
      <c r="R17" s="19"/>
      <c r="S17" s="19"/>
      <c r="T17" s="20"/>
      <c r="U17" s="19">
        <f t="shared" si="3"/>
        <v>40</v>
      </c>
      <c r="V17" s="19"/>
      <c r="W17" s="22">
        <f t="shared" si="4"/>
        <v>59.199999999999996</v>
      </c>
      <c r="X17" s="20"/>
      <c r="Y17" s="22">
        <f t="shared" si="0"/>
        <v>54.054054054054056</v>
      </c>
      <c r="Z17" s="20"/>
      <c r="AA17" s="22">
        <f t="shared" si="1"/>
        <v>45.945945945945944</v>
      </c>
      <c r="AB17" s="20"/>
    </row>
    <row r="18" spans="1:28" ht="12.75">
      <c r="A18" s="12" t="s">
        <v>44</v>
      </c>
      <c r="C18" s="8" t="s">
        <v>30</v>
      </c>
      <c r="E18" s="8">
        <v>26</v>
      </c>
      <c r="G18" s="19">
        <v>135.13513513513513</v>
      </c>
      <c r="H18" s="24"/>
      <c r="I18" s="21">
        <v>100</v>
      </c>
      <c r="J18" s="23"/>
      <c r="K18" s="24"/>
      <c r="M18" s="8">
        <v>0</v>
      </c>
      <c r="N18" s="8"/>
      <c r="O18" s="8"/>
      <c r="P18" s="8"/>
      <c r="Q18" s="8"/>
      <c r="R18" s="8"/>
      <c r="S18" s="8"/>
      <c r="U18" s="19">
        <v>0</v>
      </c>
      <c r="V18" s="19"/>
      <c r="W18" s="22">
        <v>25.999999999999996</v>
      </c>
      <c r="X18" s="20"/>
      <c r="Y18" s="22">
        <v>100</v>
      </c>
      <c r="Z18" s="20"/>
      <c r="AA18" s="22">
        <v>0</v>
      </c>
      <c r="AB18" s="20"/>
    </row>
    <row r="19" spans="1:28" ht="12.75">
      <c r="A19" s="12" t="s">
        <v>60</v>
      </c>
      <c r="C19" s="8" t="s">
        <v>2</v>
      </c>
      <c r="E19" s="19">
        <v>29</v>
      </c>
      <c r="F19" s="20"/>
      <c r="G19" s="19">
        <f>100/(1-E19/100)</f>
        <v>140.84507042253523</v>
      </c>
      <c r="H19" s="22"/>
      <c r="I19" s="21">
        <v>100</v>
      </c>
      <c r="J19" s="23"/>
      <c r="K19" s="22"/>
      <c r="L19" s="20"/>
      <c r="M19" s="19">
        <v>29</v>
      </c>
      <c r="N19" s="19"/>
      <c r="O19" s="19">
        <v>140.8</v>
      </c>
      <c r="P19" s="19"/>
      <c r="Q19" s="19">
        <f>(O19-100)/O19*100</f>
        <v>28.977272727272734</v>
      </c>
      <c r="R19" s="19"/>
      <c r="S19" s="19">
        <f>+I19*(Q19/(100-Q19))</f>
        <v>40.80000000000001</v>
      </c>
      <c r="T19" s="20"/>
      <c r="U19" s="19">
        <f t="shared" si="3"/>
        <v>0.03199999999998937</v>
      </c>
      <c r="V19" s="19"/>
      <c r="W19" s="22">
        <f t="shared" si="4"/>
        <v>29.022720000000003</v>
      </c>
      <c r="X19" s="20"/>
      <c r="Y19" s="22">
        <v>100</v>
      </c>
      <c r="Z19" s="20"/>
      <c r="AA19" s="22">
        <v>0</v>
      </c>
      <c r="AB19" s="20"/>
    </row>
    <row r="20" spans="1:28" ht="12.75">
      <c r="A20" s="12" t="s">
        <v>61</v>
      </c>
      <c r="C20" s="8" t="s">
        <v>2</v>
      </c>
      <c r="E20" s="19">
        <v>37.76</v>
      </c>
      <c r="F20" s="20"/>
      <c r="G20" s="19">
        <f t="shared" si="2"/>
        <v>160.6683804627249</v>
      </c>
      <c r="H20" s="22"/>
      <c r="I20" s="21">
        <v>100</v>
      </c>
      <c r="J20" s="23"/>
      <c r="K20" s="22"/>
      <c r="L20" s="20"/>
      <c r="M20" s="19">
        <v>60.53</v>
      </c>
      <c r="N20" s="19"/>
      <c r="O20" s="19">
        <v>150</v>
      </c>
      <c r="P20" s="19"/>
      <c r="Q20" s="19">
        <f>(O20-100)/O20*100</f>
        <v>33.33333333333333</v>
      </c>
      <c r="R20" s="19"/>
      <c r="S20" s="19">
        <f>+I20*(Q20/(100-Q20))</f>
        <v>49.999999999999986</v>
      </c>
      <c r="T20" s="20"/>
      <c r="U20" s="19">
        <f t="shared" si="3"/>
        <v>40.79500000000003</v>
      </c>
      <c r="V20" s="19"/>
      <c r="W20" s="22">
        <f t="shared" si="4"/>
        <v>63.15080800000001</v>
      </c>
      <c r="X20" s="20"/>
      <c r="Y20" s="22">
        <f t="shared" si="0"/>
        <v>59.79337588206312</v>
      </c>
      <c r="Z20" s="20"/>
      <c r="AA20" s="22">
        <f t="shared" si="1"/>
        <v>40.20662411793689</v>
      </c>
      <c r="AB20" s="20"/>
    </row>
    <row r="21" spans="1:28" ht="12.75">
      <c r="A21" s="12" t="s">
        <v>9</v>
      </c>
      <c r="C21" s="8" t="s">
        <v>31</v>
      </c>
      <c r="E21" s="19">
        <v>43.28</v>
      </c>
      <c r="F21" s="20"/>
      <c r="G21" s="19">
        <f t="shared" si="2"/>
        <v>176.3046544428773</v>
      </c>
      <c r="H21" s="22"/>
      <c r="I21" s="21">
        <f>G21-G21*E21/100</f>
        <v>100.00000000000001</v>
      </c>
      <c r="J21" s="23"/>
      <c r="K21" s="22"/>
      <c r="L21" s="20"/>
      <c r="M21" s="19">
        <v>51</v>
      </c>
      <c r="N21" s="19"/>
      <c r="O21" s="19">
        <v>143.9</v>
      </c>
      <c r="P21" s="19"/>
      <c r="Q21" s="19">
        <v>30</v>
      </c>
      <c r="R21" s="19"/>
      <c r="S21" s="19">
        <f>Q21/I21*(G21-Q21)</f>
        <v>43.89139633286318</v>
      </c>
      <c r="T21" s="20"/>
      <c r="U21" s="19">
        <f>+(1+0.055)*((M21/100)*MAX(I21,O21)-S21)</f>
        <v>31.119971868829353</v>
      </c>
      <c r="V21" s="19"/>
      <c r="W21" s="22">
        <f t="shared" si="4"/>
        <v>60.93124804400001</v>
      </c>
      <c r="X21" s="20"/>
      <c r="Y21" s="22">
        <f t="shared" si="0"/>
        <v>71.03087724175026</v>
      </c>
      <c r="Z21" s="20"/>
      <c r="AA21" s="22">
        <f t="shared" si="1"/>
        <v>28.969122758249743</v>
      </c>
      <c r="AB21" s="20"/>
    </row>
    <row r="22" spans="1:28" ht="15">
      <c r="A22" s="12" t="s">
        <v>10</v>
      </c>
      <c r="C22" s="8" t="s">
        <v>30</v>
      </c>
      <c r="E22" s="19">
        <v>35</v>
      </c>
      <c r="F22" s="25"/>
      <c r="G22" s="19">
        <f t="shared" si="2"/>
        <v>153.84615384615384</v>
      </c>
      <c r="H22" s="22"/>
      <c r="I22" s="21">
        <v>100</v>
      </c>
      <c r="J22" s="23"/>
      <c r="K22" s="22"/>
      <c r="L22" s="20"/>
      <c r="M22" s="19">
        <v>0</v>
      </c>
      <c r="N22" s="19"/>
      <c r="O22" s="19"/>
      <c r="P22" s="19"/>
      <c r="Q22" s="19"/>
      <c r="R22" s="19"/>
      <c r="S22" s="19"/>
      <c r="T22" s="20"/>
      <c r="U22" s="19">
        <f t="shared" si="3"/>
        <v>0</v>
      </c>
      <c r="V22" s="19"/>
      <c r="W22" s="22">
        <f t="shared" si="4"/>
        <v>35</v>
      </c>
      <c r="X22" s="20"/>
      <c r="Y22" s="22">
        <f t="shared" si="0"/>
        <v>100</v>
      </c>
      <c r="Z22" s="20"/>
      <c r="AA22" s="22">
        <f t="shared" si="1"/>
        <v>0</v>
      </c>
      <c r="AB22" s="20"/>
    </row>
    <row r="23" spans="1:28" ht="16.5">
      <c r="A23" s="12" t="s">
        <v>62</v>
      </c>
      <c r="C23" s="8" t="s">
        <v>27</v>
      </c>
      <c r="E23" s="19">
        <v>18</v>
      </c>
      <c r="F23" s="20"/>
      <c r="G23" s="19">
        <f t="shared" si="2"/>
        <v>121.95121951219511</v>
      </c>
      <c r="H23" s="22"/>
      <c r="I23" s="21">
        <v>100</v>
      </c>
      <c r="J23" s="23"/>
      <c r="K23" s="22"/>
      <c r="L23" s="20"/>
      <c r="M23" s="19">
        <f>35</f>
        <v>35</v>
      </c>
      <c r="N23" s="19"/>
      <c r="O23" s="19"/>
      <c r="P23" s="19"/>
      <c r="Q23" s="19"/>
      <c r="R23" s="19"/>
      <c r="S23" s="19"/>
      <c r="T23" s="20"/>
      <c r="U23" s="19">
        <f t="shared" si="3"/>
        <v>35</v>
      </c>
      <c r="V23" s="19"/>
      <c r="W23" s="22">
        <f t="shared" si="4"/>
        <v>46.699999999999996</v>
      </c>
      <c r="X23" s="20"/>
      <c r="Y23" s="22">
        <f t="shared" si="0"/>
        <v>38.543897216274075</v>
      </c>
      <c r="Z23" s="20"/>
      <c r="AA23" s="22">
        <f t="shared" si="1"/>
        <v>61.45610278372592</v>
      </c>
      <c r="AB23" s="20"/>
    </row>
    <row r="24" spans="1:28" ht="15">
      <c r="A24" s="12" t="s">
        <v>11</v>
      </c>
      <c r="C24" s="8" t="s">
        <v>4</v>
      </c>
      <c r="E24" s="19">
        <v>30</v>
      </c>
      <c r="F24" s="20"/>
      <c r="G24" s="19">
        <f t="shared" si="2"/>
        <v>142.85714285714286</v>
      </c>
      <c r="H24" s="19"/>
      <c r="I24" s="21">
        <v>100</v>
      </c>
      <c r="J24" s="21"/>
      <c r="K24" s="19"/>
      <c r="L24" s="20"/>
      <c r="M24" s="19">
        <v>10</v>
      </c>
      <c r="N24" s="19"/>
      <c r="O24" s="19"/>
      <c r="P24" s="19"/>
      <c r="Q24" s="19"/>
      <c r="R24" s="19"/>
      <c r="S24" s="19"/>
      <c r="T24" s="20"/>
      <c r="U24" s="19">
        <f t="shared" si="3"/>
        <v>10</v>
      </c>
      <c r="V24" s="19"/>
      <c r="W24" s="22">
        <f t="shared" si="4"/>
        <v>37</v>
      </c>
      <c r="X24" s="20"/>
      <c r="Y24" s="22">
        <f t="shared" si="0"/>
        <v>81.08108108108108</v>
      </c>
      <c r="Z24" s="20"/>
      <c r="AA24" s="22">
        <f t="shared" si="1"/>
        <v>18.918918918918916</v>
      </c>
      <c r="AB24" s="20"/>
    </row>
    <row r="25" spans="1:28" ht="15">
      <c r="A25" s="12" t="s">
        <v>12</v>
      </c>
      <c r="C25" s="8" t="s">
        <v>4</v>
      </c>
      <c r="E25" s="19">
        <v>24</v>
      </c>
      <c r="F25" s="20"/>
      <c r="G25" s="19">
        <f>100/(1-E25/100)</f>
        <v>131.57894736842104</v>
      </c>
      <c r="H25" s="19"/>
      <c r="I25" s="21">
        <v>100</v>
      </c>
      <c r="J25" s="21"/>
      <c r="K25" s="19"/>
      <c r="L25" s="20"/>
      <c r="M25" s="19">
        <v>44</v>
      </c>
      <c r="N25" s="19"/>
      <c r="O25" s="19"/>
      <c r="P25" s="19"/>
      <c r="Q25" s="19"/>
      <c r="R25" s="19"/>
      <c r="S25" s="19"/>
      <c r="T25" s="20"/>
      <c r="U25" s="19">
        <f t="shared" si="3"/>
        <v>44</v>
      </c>
      <c r="V25" s="19"/>
      <c r="W25" s="22">
        <f t="shared" si="4"/>
        <v>57.43999999999999</v>
      </c>
      <c r="X25" s="20"/>
      <c r="Y25" s="22">
        <f t="shared" si="0"/>
        <v>41.782729805013915</v>
      </c>
      <c r="Z25" s="20"/>
      <c r="AA25" s="22">
        <f t="shared" si="1"/>
        <v>58.217270194986085</v>
      </c>
      <c r="AB25" s="20"/>
    </row>
    <row r="26" spans="1:28" ht="15">
      <c r="A26" s="12" t="s">
        <v>43</v>
      </c>
      <c r="C26" s="8" t="s">
        <v>29</v>
      </c>
      <c r="E26" s="8">
        <v>36</v>
      </c>
      <c r="F26" s="20"/>
      <c r="G26" s="19">
        <v>156.25</v>
      </c>
      <c r="H26" s="19"/>
      <c r="I26" s="21">
        <v>100</v>
      </c>
      <c r="J26" s="21"/>
      <c r="K26" s="19"/>
      <c r="L26" s="20"/>
      <c r="M26" s="19">
        <v>25</v>
      </c>
      <c r="N26" s="19"/>
      <c r="O26" s="19"/>
      <c r="P26" s="19"/>
      <c r="Q26" s="19"/>
      <c r="R26" s="19"/>
      <c r="S26" s="19"/>
      <c r="T26" s="20"/>
      <c r="U26" s="19">
        <v>25</v>
      </c>
      <c r="V26" s="19"/>
      <c r="W26" s="22">
        <v>52</v>
      </c>
      <c r="X26" s="20"/>
      <c r="Y26" s="22">
        <v>69.23076923076923</v>
      </c>
      <c r="Z26" s="20"/>
      <c r="AA26" s="22">
        <v>30.76923076923077</v>
      </c>
      <c r="AB26" s="20"/>
    </row>
    <row r="27" spans="1:28" ht="15">
      <c r="A27" s="12" t="s">
        <v>13</v>
      </c>
      <c r="C27" s="8" t="s">
        <v>39</v>
      </c>
      <c r="E27" s="19">
        <v>37</v>
      </c>
      <c r="F27" s="20"/>
      <c r="G27" s="19">
        <f>100/(1-E27/100)</f>
        <v>158.73015873015873</v>
      </c>
      <c r="H27" s="19"/>
      <c r="I27" s="21">
        <v>100</v>
      </c>
      <c r="J27" s="21"/>
      <c r="K27" s="19">
        <v>12.5</v>
      </c>
      <c r="L27" s="20"/>
      <c r="M27" s="19">
        <v>12.5</v>
      </c>
      <c r="N27" s="19"/>
      <c r="O27" s="19" t="s">
        <v>40</v>
      </c>
      <c r="P27" s="19"/>
      <c r="Q27" s="19" t="s">
        <v>40</v>
      </c>
      <c r="R27" s="19"/>
      <c r="S27" s="19" t="s">
        <v>40</v>
      </c>
      <c r="T27" s="20"/>
      <c r="U27" s="19">
        <v>12.5</v>
      </c>
      <c r="V27" s="19"/>
      <c r="W27" s="22">
        <f>(G27-I27+U27)/G27*100</f>
        <v>44.87500000000001</v>
      </c>
      <c r="X27" s="20"/>
      <c r="Y27" s="22">
        <f>((G27-I27)/((G27-I27)+U27))*100</f>
        <v>82.45125348189416</v>
      </c>
      <c r="Z27" s="20"/>
      <c r="AA27" s="22">
        <f>(U27/((G27-I27)+U27))*100</f>
        <v>17.548746518105848</v>
      </c>
      <c r="AB27" s="20"/>
    </row>
    <row r="28" spans="1:28" ht="15">
      <c r="A28" s="12" t="s">
        <v>14</v>
      </c>
      <c r="C28" s="8" t="s">
        <v>4</v>
      </c>
      <c r="E28" s="19">
        <v>40.87</v>
      </c>
      <c r="F28" s="20"/>
      <c r="G28" s="19">
        <f t="shared" si="2"/>
        <v>169.1188905800778</v>
      </c>
      <c r="H28" s="19"/>
      <c r="I28" s="21">
        <v>100</v>
      </c>
      <c r="J28" s="21"/>
      <c r="K28" s="19"/>
      <c r="L28" s="20"/>
      <c r="M28" s="19">
        <v>50</v>
      </c>
      <c r="N28" s="19"/>
      <c r="O28" s="19"/>
      <c r="P28" s="19"/>
      <c r="Q28" s="19"/>
      <c r="R28" s="19"/>
      <c r="S28" s="19">
        <v>6.4</v>
      </c>
      <c r="T28" s="20"/>
      <c r="U28" s="19">
        <f t="shared" si="3"/>
        <v>43.6</v>
      </c>
      <c r="V28" s="19"/>
      <c r="W28" s="22">
        <f t="shared" si="4"/>
        <v>66.65068</v>
      </c>
      <c r="X28" s="20"/>
      <c r="Y28" s="22">
        <f t="shared" si="0"/>
        <v>61.31970446513074</v>
      </c>
      <c r="Z28" s="20"/>
      <c r="AA28" s="22">
        <f t="shared" si="1"/>
        <v>38.680295534869266</v>
      </c>
      <c r="AB28" s="20"/>
    </row>
    <row r="29" spans="1:28" ht="15">
      <c r="A29" s="12" t="s">
        <v>15</v>
      </c>
      <c r="C29" s="8" t="s">
        <v>4</v>
      </c>
      <c r="E29" s="19">
        <v>30.8</v>
      </c>
      <c r="F29" s="20"/>
      <c r="G29" s="19">
        <f t="shared" si="2"/>
        <v>144.50867052023122</v>
      </c>
      <c r="H29" s="19"/>
      <c r="I29" s="21">
        <v>100</v>
      </c>
      <c r="J29" s="21"/>
      <c r="K29" s="19">
        <v>20</v>
      </c>
      <c r="L29" s="20"/>
      <c r="M29" s="19">
        <v>20</v>
      </c>
      <c r="N29" s="19"/>
      <c r="O29" s="19"/>
      <c r="P29" s="19"/>
      <c r="Q29" s="19"/>
      <c r="R29" s="19"/>
      <c r="S29" s="19"/>
      <c r="T29" s="20"/>
      <c r="U29" s="19">
        <f t="shared" si="3"/>
        <v>20</v>
      </c>
      <c r="V29" s="19"/>
      <c r="W29" s="22">
        <f t="shared" si="4"/>
        <v>44.64</v>
      </c>
      <c r="X29" s="20"/>
      <c r="Y29" s="22">
        <f t="shared" si="0"/>
        <v>68.99641577060932</v>
      </c>
      <c r="Z29" s="20"/>
      <c r="AA29" s="22">
        <f t="shared" si="1"/>
        <v>31.00358422939068</v>
      </c>
      <c r="AB29" s="20"/>
    </row>
    <row r="30" spans="1:28" ht="15">
      <c r="A30" s="12" t="s">
        <v>16</v>
      </c>
      <c r="C30" s="8" t="s">
        <v>25</v>
      </c>
      <c r="E30" s="19">
        <v>37.5</v>
      </c>
      <c r="F30" s="20"/>
      <c r="G30" s="19">
        <f t="shared" si="2"/>
        <v>160</v>
      </c>
      <c r="H30" s="19"/>
      <c r="I30" s="21">
        <v>100</v>
      </c>
      <c r="J30" s="21"/>
      <c r="K30" s="19"/>
      <c r="L30" s="20"/>
      <c r="M30" s="19">
        <f>46*1.025</f>
        <v>47.15</v>
      </c>
      <c r="N30" s="19"/>
      <c r="O30" s="19"/>
      <c r="P30" s="19"/>
      <c r="Q30" s="19"/>
      <c r="R30" s="19"/>
      <c r="S30" s="19"/>
      <c r="T30" s="20"/>
      <c r="U30" s="19">
        <f>I30/2*M30/100</f>
        <v>23.575</v>
      </c>
      <c r="V30" s="19"/>
      <c r="W30" s="22">
        <f t="shared" si="4"/>
        <v>52.234375</v>
      </c>
      <c r="X30" s="20"/>
      <c r="Y30" s="22">
        <f t="shared" si="0"/>
        <v>71.7918037690697</v>
      </c>
      <c r="Z30" s="20"/>
      <c r="AA30" s="22">
        <f t="shared" si="1"/>
        <v>28.208196230930298</v>
      </c>
      <c r="AB30" s="20"/>
    </row>
    <row r="31" spans="1:28" ht="15">
      <c r="A31" s="12" t="s">
        <v>17</v>
      </c>
      <c r="C31" s="8" t="s">
        <v>2</v>
      </c>
      <c r="E31" s="19">
        <v>35</v>
      </c>
      <c r="F31" s="20"/>
      <c r="G31" s="19">
        <f t="shared" si="2"/>
        <v>153.84615384615384</v>
      </c>
      <c r="H31" s="19"/>
      <c r="I31" s="21">
        <v>100</v>
      </c>
      <c r="J31" s="21"/>
      <c r="K31" s="19"/>
      <c r="L31" s="20"/>
      <c r="M31" s="19">
        <v>35</v>
      </c>
      <c r="N31" s="19"/>
      <c r="O31" s="19">
        <f>100/(1-M31/100)</f>
        <v>153.84615384615384</v>
      </c>
      <c r="P31" s="19"/>
      <c r="Q31" s="19">
        <f>(O31-100)/O31*100</f>
        <v>35</v>
      </c>
      <c r="R31" s="19"/>
      <c r="S31" s="19">
        <f>+I31*(Q31/(100-Q31))</f>
        <v>53.84615384615385</v>
      </c>
      <c r="T31" s="20"/>
      <c r="U31" s="19">
        <f t="shared" si="3"/>
        <v>0</v>
      </c>
      <c r="V31" s="19"/>
      <c r="W31" s="22">
        <f t="shared" si="4"/>
        <v>35</v>
      </c>
      <c r="X31" s="20"/>
      <c r="Y31" s="22">
        <f t="shared" si="0"/>
        <v>100</v>
      </c>
      <c r="Z31" s="20"/>
      <c r="AA31" s="22">
        <f t="shared" si="1"/>
        <v>0</v>
      </c>
      <c r="AB31" s="20"/>
    </row>
    <row r="32" spans="1:28" ht="15">
      <c r="A32" s="12" t="s">
        <v>18</v>
      </c>
      <c r="C32" s="8" t="s">
        <v>4</v>
      </c>
      <c r="E32" s="19">
        <v>35</v>
      </c>
      <c r="F32" s="20"/>
      <c r="G32" s="19">
        <f t="shared" si="2"/>
        <v>153.84615384615384</v>
      </c>
      <c r="H32" s="19"/>
      <c r="I32" s="21">
        <v>100</v>
      </c>
      <c r="J32" s="21"/>
      <c r="K32" s="19"/>
      <c r="L32" s="20"/>
      <c r="M32" s="19">
        <v>60</v>
      </c>
      <c r="N32" s="19"/>
      <c r="O32" s="19"/>
      <c r="P32" s="19"/>
      <c r="Q32" s="19"/>
      <c r="R32" s="19"/>
      <c r="S32" s="19"/>
      <c r="T32" s="20"/>
      <c r="U32" s="19">
        <f>+(M32/100)*MAX(I32,O32)-S32</f>
        <v>60</v>
      </c>
      <c r="V32" s="19"/>
      <c r="W32" s="22">
        <f t="shared" si="4"/>
        <v>74</v>
      </c>
      <c r="X32" s="20"/>
      <c r="Y32" s="22">
        <f t="shared" si="0"/>
        <v>47.29729729729729</v>
      </c>
      <c r="Z32" s="20"/>
      <c r="AA32" s="22">
        <f t="shared" si="1"/>
        <v>52.70270270270271</v>
      </c>
      <c r="AB32" s="20"/>
    </row>
    <row r="33" spans="1:28" ht="16.5">
      <c r="A33" s="12" t="s">
        <v>63</v>
      </c>
      <c r="C33" s="8" t="s">
        <v>2</v>
      </c>
      <c r="E33" s="19">
        <v>33</v>
      </c>
      <c r="F33" s="20"/>
      <c r="G33" s="19">
        <f t="shared" si="2"/>
        <v>149.2537313432836</v>
      </c>
      <c r="H33" s="19"/>
      <c r="I33" s="21">
        <v>100</v>
      </c>
      <c r="J33" s="21"/>
      <c r="K33" s="19"/>
      <c r="L33" s="20"/>
      <c r="M33" s="19">
        <v>39</v>
      </c>
      <c r="N33" s="19"/>
      <c r="O33" s="19">
        <v>149.3</v>
      </c>
      <c r="P33" s="19"/>
      <c r="Q33" s="19">
        <f>(O33-100)/O33*100</f>
        <v>33.02076356329538</v>
      </c>
      <c r="R33" s="19"/>
      <c r="S33" s="19">
        <f>+I33*(Q33/(100-Q33))</f>
        <v>49.30000000000002</v>
      </c>
      <c r="T33" s="20"/>
      <c r="U33" s="19">
        <f>+(M33/100)*MAX(I33,O33)-S33</f>
        <v>8.926999999999985</v>
      </c>
      <c r="V33" s="19"/>
      <c r="W33" s="22">
        <f t="shared" si="4"/>
        <v>38.981089999999995</v>
      </c>
      <c r="X33" s="20"/>
      <c r="Y33" s="22">
        <f t="shared" si="0"/>
        <v>84.65643213157972</v>
      </c>
      <c r="Z33" s="20"/>
      <c r="AA33" s="22">
        <f t="shared" si="1"/>
        <v>15.34356786842028</v>
      </c>
      <c r="AB33" s="20"/>
    </row>
    <row r="34" spans="1:28" ht="15">
      <c r="A34" s="12" t="s">
        <v>19</v>
      </c>
      <c r="C34" s="8" t="s">
        <v>2</v>
      </c>
      <c r="E34" s="19">
        <v>28</v>
      </c>
      <c r="F34" s="20"/>
      <c r="G34" s="19">
        <f t="shared" si="2"/>
        <v>138.88888888888889</v>
      </c>
      <c r="H34" s="19"/>
      <c r="I34" s="21">
        <v>100</v>
      </c>
      <c r="J34" s="21"/>
      <c r="K34" s="19"/>
      <c r="L34" s="20"/>
      <c r="M34" s="19">
        <v>28</v>
      </c>
      <c r="N34" s="19"/>
      <c r="O34" s="19">
        <v>138.9</v>
      </c>
      <c r="P34" s="19"/>
      <c r="Q34" s="19">
        <f>(O34-100)/O34*100</f>
        <v>28.005759539236863</v>
      </c>
      <c r="R34" s="19"/>
      <c r="S34" s="19">
        <f>+I34*(Q34/(100-Q34))</f>
        <v>38.9</v>
      </c>
      <c r="T34" s="20"/>
      <c r="U34" s="19">
        <f t="shared" si="3"/>
        <v>-0.007999999999995566</v>
      </c>
      <c r="V34" s="19"/>
      <c r="W34" s="22">
        <f>(G34-I34+U34)/G34*100</f>
        <v>27.994240000000005</v>
      </c>
      <c r="X34" s="20"/>
      <c r="Y34" s="22">
        <f t="shared" si="0"/>
        <v>100.02057566127888</v>
      </c>
      <c r="Z34" s="20"/>
      <c r="AA34" s="22">
        <f t="shared" si="1"/>
        <v>-0.020575661278880254</v>
      </c>
      <c r="AB34" s="20"/>
    </row>
    <row r="35" spans="1:28" ht="15">
      <c r="A35" s="12" t="s">
        <v>36</v>
      </c>
      <c r="C35" s="8" t="s">
        <v>29</v>
      </c>
      <c r="E35" s="19">
        <v>30</v>
      </c>
      <c r="F35" s="20"/>
      <c r="G35" s="19">
        <f>100/(1-E35/100)</f>
        <v>142.85714285714286</v>
      </c>
      <c r="H35" s="22"/>
      <c r="I35" s="21">
        <v>100</v>
      </c>
      <c r="J35" s="23"/>
      <c r="K35" s="19">
        <v>20</v>
      </c>
      <c r="L35" s="19">
        <v>20</v>
      </c>
      <c r="M35" s="19">
        <v>20</v>
      </c>
      <c r="N35" s="19"/>
      <c r="O35" s="19"/>
      <c r="P35" s="19"/>
      <c r="Q35" s="19"/>
      <c r="R35" s="19"/>
      <c r="S35" s="19"/>
      <c r="T35" s="20"/>
      <c r="U35" s="19">
        <f t="shared" si="3"/>
        <v>20</v>
      </c>
      <c r="V35" s="19"/>
      <c r="W35" s="22">
        <f>(G35-I35+U35)/G35*100</f>
        <v>44</v>
      </c>
      <c r="X35" s="20"/>
      <c r="Y35" s="22">
        <f t="shared" si="0"/>
        <v>68.18181818181819</v>
      </c>
      <c r="AA35" s="22">
        <f t="shared" si="1"/>
        <v>31.818181818181817</v>
      </c>
      <c r="AB35" s="20"/>
    </row>
    <row r="36" spans="1:28" ht="15">
      <c r="A36" s="12" t="s">
        <v>20</v>
      </c>
      <c r="C36" s="8" t="s">
        <v>29</v>
      </c>
      <c r="E36" s="19">
        <v>35.2</v>
      </c>
      <c r="F36" s="20"/>
      <c r="G36" s="19">
        <f>100/(1-E36/100)</f>
        <v>154.32098765432102</v>
      </c>
      <c r="H36" s="19"/>
      <c r="I36" s="21">
        <v>100</v>
      </c>
      <c r="J36" s="21"/>
      <c r="K36" s="19">
        <v>25</v>
      </c>
      <c r="L36" s="20"/>
      <c r="M36" s="19">
        <v>25</v>
      </c>
      <c r="N36" s="19"/>
      <c r="O36" s="19"/>
      <c r="P36" s="19"/>
      <c r="Q36" s="19"/>
      <c r="R36" s="19"/>
      <c r="S36" s="19"/>
      <c r="T36" s="20"/>
      <c r="U36" s="19">
        <f t="shared" si="3"/>
        <v>25</v>
      </c>
      <c r="V36" s="19"/>
      <c r="W36" s="22">
        <f>(G36-I36+U36)/G36*100</f>
        <v>51.40000000000001</v>
      </c>
      <c r="X36" s="20"/>
      <c r="Y36" s="22">
        <f t="shared" si="0"/>
        <v>68.48249027237355</v>
      </c>
      <c r="Z36" s="20"/>
      <c r="AA36" s="22">
        <f t="shared" si="1"/>
        <v>31.517509727626447</v>
      </c>
      <c r="AB36" s="20"/>
    </row>
    <row r="37" spans="1:28" ht="15">
      <c r="A37" s="12" t="s">
        <v>21</v>
      </c>
      <c r="C37" s="8" t="s">
        <v>4</v>
      </c>
      <c r="E37" s="19">
        <v>29</v>
      </c>
      <c r="F37" s="20"/>
      <c r="G37" s="19">
        <f t="shared" si="2"/>
        <v>140.84507042253523</v>
      </c>
      <c r="H37" s="19"/>
      <c r="I37" s="21">
        <v>100</v>
      </c>
      <c r="J37" s="21"/>
      <c r="K37" s="19">
        <v>15</v>
      </c>
      <c r="L37" s="20"/>
      <c r="M37" s="19">
        <v>15</v>
      </c>
      <c r="N37" s="19"/>
      <c r="O37" s="19"/>
      <c r="P37" s="19"/>
      <c r="Q37" s="19"/>
      <c r="R37" s="19"/>
      <c r="S37" s="19"/>
      <c r="T37" s="20"/>
      <c r="U37" s="19">
        <f t="shared" si="3"/>
        <v>15</v>
      </c>
      <c r="V37" s="19"/>
      <c r="W37" s="22">
        <f t="shared" si="4"/>
        <v>39.650000000000006</v>
      </c>
      <c r="X37" s="20"/>
      <c r="Y37" s="22">
        <f t="shared" si="0"/>
        <v>73.13997477931905</v>
      </c>
      <c r="Z37" s="20"/>
      <c r="AA37" s="22">
        <f t="shared" si="1"/>
        <v>26.86002522068095</v>
      </c>
      <c r="AB37" s="20"/>
    </row>
    <row r="38" spans="1:28" ht="15">
      <c r="A38" s="12" t="s">
        <v>42</v>
      </c>
      <c r="C38" s="8" t="s">
        <v>25</v>
      </c>
      <c r="E38" s="8">
        <v>25</v>
      </c>
      <c r="G38" s="19">
        <v>133.33333333333334</v>
      </c>
      <c r="H38" s="8"/>
      <c r="I38" s="21">
        <v>100</v>
      </c>
      <c r="J38" s="21"/>
      <c r="K38" s="8"/>
      <c r="M38" s="19">
        <v>50</v>
      </c>
      <c r="N38" s="19"/>
      <c r="O38" s="19"/>
      <c r="P38" s="19"/>
      <c r="Q38" s="19"/>
      <c r="R38" s="19"/>
      <c r="S38" s="19"/>
      <c r="T38" s="20"/>
      <c r="U38" s="19">
        <v>30</v>
      </c>
      <c r="V38" s="19"/>
      <c r="W38" s="22">
        <v>47.5</v>
      </c>
      <c r="X38" s="20"/>
      <c r="Y38" s="22">
        <v>52.63157894736843</v>
      </c>
      <c r="Z38" s="20"/>
      <c r="AA38" s="22">
        <v>47.36842105263157</v>
      </c>
      <c r="AB38" s="20"/>
    </row>
    <row r="39" spans="1:28" ht="15">
      <c r="A39" s="12" t="s">
        <v>22</v>
      </c>
      <c r="C39" s="8" t="s">
        <v>6</v>
      </c>
      <c r="E39" s="19">
        <v>35</v>
      </c>
      <c r="F39" s="20"/>
      <c r="G39" s="19">
        <f t="shared" si="2"/>
        <v>153.84615384615384</v>
      </c>
      <c r="H39" s="19"/>
      <c r="I39" s="21">
        <v>100</v>
      </c>
      <c r="J39" s="21"/>
      <c r="K39" s="19"/>
      <c r="L39" s="20"/>
      <c r="M39" s="19">
        <v>48</v>
      </c>
      <c r="N39" s="19"/>
      <c r="O39" s="19">
        <v>140</v>
      </c>
      <c r="P39" s="19"/>
      <c r="Q39" s="19">
        <f>(O39-100)/O39*100</f>
        <v>28.57142857142857</v>
      </c>
      <c r="R39" s="19"/>
      <c r="S39" s="19">
        <f>+I39*(Q39/(100-Q39))</f>
        <v>40</v>
      </c>
      <c r="T39" s="20"/>
      <c r="U39" s="19">
        <f t="shared" si="3"/>
        <v>27.200000000000003</v>
      </c>
      <c r="V39" s="19"/>
      <c r="W39" s="22">
        <f t="shared" si="4"/>
        <v>52.68000000000001</v>
      </c>
      <c r="X39" s="20"/>
      <c r="Y39" s="22">
        <f t="shared" si="0"/>
        <v>66.43887623386485</v>
      </c>
      <c r="Z39" s="20"/>
      <c r="AA39" s="22">
        <f t="shared" si="1"/>
        <v>33.56112376613516</v>
      </c>
      <c r="AB39" s="20"/>
    </row>
    <row r="40" spans="1:28" ht="15">
      <c r="A40" s="12" t="s">
        <v>23</v>
      </c>
      <c r="C40" s="8" t="s">
        <v>4</v>
      </c>
      <c r="E40" s="19">
        <v>28</v>
      </c>
      <c r="F40" s="20"/>
      <c r="G40" s="19">
        <f t="shared" si="2"/>
        <v>138.88888888888889</v>
      </c>
      <c r="H40" s="19"/>
      <c r="I40" s="21">
        <v>100</v>
      </c>
      <c r="J40" s="21"/>
      <c r="K40" s="19"/>
      <c r="L40" s="20"/>
      <c r="M40" s="19">
        <v>30</v>
      </c>
      <c r="N40" s="19"/>
      <c r="O40" s="19"/>
      <c r="P40" s="19"/>
      <c r="Q40" s="19"/>
      <c r="R40" s="19"/>
      <c r="S40" s="19"/>
      <c r="T40" s="20"/>
      <c r="U40" s="19">
        <f t="shared" si="3"/>
        <v>30</v>
      </c>
      <c r="V40" s="19"/>
      <c r="W40" s="22">
        <f t="shared" si="4"/>
        <v>49.6</v>
      </c>
      <c r="X40" s="20"/>
      <c r="Y40" s="22">
        <f t="shared" si="0"/>
        <v>56.4516129032258</v>
      </c>
      <c r="Z40" s="20"/>
      <c r="AA40" s="22">
        <f t="shared" si="1"/>
        <v>43.54838709677419</v>
      </c>
      <c r="AB40" s="20"/>
    </row>
    <row r="41" spans="1:28" ht="16.5">
      <c r="A41" s="12" t="s">
        <v>64</v>
      </c>
      <c r="C41" s="8" t="s">
        <v>4</v>
      </c>
      <c r="E41" s="19">
        <v>24.92548854738328</v>
      </c>
      <c r="F41" s="20"/>
      <c r="G41" s="19">
        <f t="shared" si="2"/>
        <v>133.201</v>
      </c>
      <c r="H41" s="19"/>
      <c r="I41" s="21">
        <v>100</v>
      </c>
      <c r="J41" s="21"/>
      <c r="K41" s="19"/>
      <c r="L41" s="20"/>
      <c r="M41" s="19">
        <f>13*(1.3+1.05)+11.5</f>
        <v>42.05</v>
      </c>
      <c r="N41" s="19"/>
      <c r="O41" s="19"/>
      <c r="P41" s="19"/>
      <c r="Q41" s="19"/>
      <c r="R41" s="19"/>
      <c r="S41" s="19"/>
      <c r="T41" s="20"/>
      <c r="U41" s="19">
        <f t="shared" si="3"/>
        <v>42.05</v>
      </c>
      <c r="V41" s="19"/>
      <c r="W41" s="22">
        <f t="shared" si="4"/>
        <v>56.4943206132086</v>
      </c>
      <c r="X41" s="20"/>
      <c r="Y41" s="22">
        <f t="shared" si="0"/>
        <v>44.12034391569547</v>
      </c>
      <c r="Z41" s="20"/>
      <c r="AA41" s="22">
        <f t="shared" si="1"/>
        <v>55.87965608430453</v>
      </c>
      <c r="AB41" s="20"/>
    </row>
    <row r="42" spans="1:28" ht="16.5">
      <c r="A42" s="12" t="s">
        <v>65</v>
      </c>
      <c r="C42" s="8" t="s">
        <v>6</v>
      </c>
      <c r="E42" s="19">
        <v>33</v>
      </c>
      <c r="F42" s="20"/>
      <c r="G42" s="19">
        <f t="shared" si="2"/>
        <v>149.2537313432836</v>
      </c>
      <c r="H42" s="19"/>
      <c r="I42" s="21">
        <v>100</v>
      </c>
      <c r="J42" s="21"/>
      <c r="K42" s="19">
        <v>16.5</v>
      </c>
      <c r="L42" s="20"/>
      <c r="M42" s="19">
        <v>49.5</v>
      </c>
      <c r="N42" s="19"/>
      <c r="O42" s="19">
        <v>100.2</v>
      </c>
      <c r="P42" s="19"/>
      <c r="Q42" s="19"/>
      <c r="R42" s="19"/>
      <c r="S42" s="19">
        <f>((100-K42)/5)*1.1</f>
        <v>18.37</v>
      </c>
      <c r="T42" s="20"/>
      <c r="U42" s="19">
        <f t="shared" si="3"/>
        <v>31.229000000000003</v>
      </c>
      <c r="V42" s="19"/>
      <c r="W42" s="22">
        <f>(G42-I42+K42+U42)/G42*100</f>
        <v>64.97843</v>
      </c>
      <c r="X42" s="20"/>
      <c r="Y42" s="22">
        <f>((G42-I42)/((G42-I42)+K42+U42))*100</f>
        <v>50.786083935853796</v>
      </c>
      <c r="Z42" s="20"/>
      <c r="AA42" s="22">
        <f>((U42+K42)/((G42-I42)+K42+U42))*100</f>
        <v>49.213916064146204</v>
      </c>
      <c r="AB42" s="20"/>
    </row>
    <row r="43" spans="1:28" ht="16.5">
      <c r="A43" s="12" t="s">
        <v>66</v>
      </c>
      <c r="C43" s="8" t="s">
        <v>6</v>
      </c>
      <c r="E43" s="19">
        <v>30</v>
      </c>
      <c r="F43" s="20"/>
      <c r="G43" s="19">
        <f t="shared" si="2"/>
        <v>142.85714285714286</v>
      </c>
      <c r="H43" s="19"/>
      <c r="I43" s="21">
        <v>100</v>
      </c>
      <c r="J43" s="21"/>
      <c r="K43" s="19"/>
      <c r="L43" s="20"/>
      <c r="M43" s="19">
        <v>32.5</v>
      </c>
      <c r="N43" s="19"/>
      <c r="O43" s="19">
        <v>111.11</v>
      </c>
      <c r="P43" s="19"/>
      <c r="Q43" s="19">
        <f>(O43-100)/O43*100</f>
        <v>9.99909999099991</v>
      </c>
      <c r="R43" s="19"/>
      <c r="S43" s="19">
        <f>+I43*(Q43/(100-Q43))</f>
        <v>11.110000000000001</v>
      </c>
      <c r="T43" s="20"/>
      <c r="U43" s="19">
        <f t="shared" si="3"/>
        <v>25.000750000000004</v>
      </c>
      <c r="V43" s="19"/>
      <c r="W43" s="22">
        <f>(G43-I43+U43)/G43*100</f>
        <v>47.50052500000001</v>
      </c>
      <c r="X43" s="20"/>
      <c r="Y43" s="22">
        <f t="shared" si="0"/>
        <v>63.15719668361559</v>
      </c>
      <c r="Z43" s="20"/>
      <c r="AA43" s="22">
        <f t="shared" si="1"/>
        <v>36.84280331638439</v>
      </c>
      <c r="AB43" s="20"/>
    </row>
    <row r="44" spans="1:28" s="27" customFormat="1" ht="16.5">
      <c r="A44" s="12" t="s">
        <v>67</v>
      </c>
      <c r="B44" s="2"/>
      <c r="C44" s="8" t="s">
        <v>4</v>
      </c>
      <c r="D44" s="2"/>
      <c r="E44" s="19">
        <v>39.3</v>
      </c>
      <c r="F44" s="20"/>
      <c r="G44" s="19">
        <f t="shared" si="2"/>
        <v>164.74464579901155</v>
      </c>
      <c r="H44" s="19"/>
      <c r="I44" s="21">
        <v>100</v>
      </c>
      <c r="J44" s="21"/>
      <c r="K44" s="19"/>
      <c r="L44" s="26"/>
      <c r="M44" s="19">
        <v>46.2</v>
      </c>
      <c r="N44" s="19"/>
      <c r="O44" s="19"/>
      <c r="P44" s="19"/>
      <c r="Q44" s="19"/>
      <c r="R44" s="19"/>
      <c r="S44" s="19"/>
      <c r="T44" s="26"/>
      <c r="U44" s="19">
        <f>+(M44/100)*MAX(I44,O44)-S44</f>
        <v>46.2</v>
      </c>
      <c r="V44" s="19"/>
      <c r="W44" s="22">
        <f>(G44-I44+U44)/G44*100</f>
        <v>67.3434</v>
      </c>
      <c r="X44" s="20"/>
      <c r="Y44" s="22">
        <f>((G44-I44)/((G44-I44)+U44))*100</f>
        <v>58.357611881787975</v>
      </c>
      <c r="Z44" s="20"/>
      <c r="AA44" s="22">
        <f>(U44/((G44-I44)+U44))*100</f>
        <v>41.642388118212025</v>
      </c>
      <c r="AB44" s="20"/>
    </row>
    <row r="45" spans="1:27" ht="5.25" customHeight="1" thickBot="1">
      <c r="A45" s="28"/>
      <c r="B45" s="28"/>
      <c r="C45" s="28"/>
      <c r="D45" s="28"/>
      <c r="E45" s="28"/>
      <c r="F45" s="28"/>
      <c r="G45" s="28"/>
      <c r="H45" s="28"/>
      <c r="I45" s="28"/>
      <c r="J45" s="28"/>
      <c r="K45" s="28"/>
      <c r="L45" s="28"/>
      <c r="M45" s="28"/>
      <c r="N45" s="28"/>
      <c r="O45" s="28"/>
      <c r="P45" s="28"/>
      <c r="Q45" s="28"/>
      <c r="R45" s="28"/>
      <c r="S45" s="28"/>
      <c r="T45" s="28"/>
      <c r="U45" s="29"/>
      <c r="V45" s="28"/>
      <c r="W45" s="28"/>
      <c r="X45" s="28"/>
      <c r="Y45" s="28"/>
      <c r="Z45" s="28"/>
      <c r="AA45" s="28"/>
    </row>
    <row r="46" ht="12.75" customHeight="1"/>
    <row r="47" spans="1:21" ht="12.75" customHeight="1">
      <c r="A47" s="12"/>
      <c r="U47" s="2"/>
    </row>
    <row r="48" spans="1:21" ht="12.75" customHeight="1">
      <c r="A48" s="53"/>
      <c r="B48" s="53"/>
      <c r="C48" s="53"/>
      <c r="U48" s="2"/>
    </row>
    <row r="49" ht="12.75" customHeight="1">
      <c r="U49" s="2"/>
    </row>
    <row r="50" ht="12.75" customHeight="1">
      <c r="U50" s="2"/>
    </row>
    <row r="51" ht="12.75" customHeight="1">
      <c r="U51" s="2"/>
    </row>
    <row r="52" ht="12.75" customHeight="1">
      <c r="U52" s="2"/>
    </row>
    <row r="53" ht="12.75" customHeight="1">
      <c r="U53" s="2"/>
    </row>
    <row r="54" ht="12.75" customHeight="1">
      <c r="U54" s="2"/>
    </row>
    <row r="55" ht="12.75" customHeight="1">
      <c r="U55" s="2"/>
    </row>
    <row r="56" ht="12.75" customHeight="1">
      <c r="U56" s="2"/>
    </row>
  </sheetData>
  <sheetProtection/>
  <mergeCells count="14">
    <mergeCell ref="I5:I8"/>
    <mergeCell ref="K5:K8"/>
    <mergeCell ref="M5:M8"/>
    <mergeCell ref="O5:O8"/>
    <mergeCell ref="A48:C48"/>
    <mergeCell ref="C5:C8"/>
    <mergeCell ref="E5:E8"/>
    <mergeCell ref="G5:G8"/>
    <mergeCell ref="Q5:Q8"/>
    <mergeCell ref="AA5:AA8"/>
    <mergeCell ref="S5:S8"/>
    <mergeCell ref="U5:U8"/>
    <mergeCell ref="W5:W8"/>
    <mergeCell ref="Y5:Y8"/>
  </mergeCells>
  <printOptions/>
  <pageMargins left="0.25" right="0.25" top="1" bottom="1" header="0.3" footer="0.3"/>
  <pageSetup fitToHeight="1" fitToWidth="1" horizontalDpi="600" verticalDpi="600" orientation="portrait" paperSize="9" scale="55"/>
  <rowBreaks count="1" manualBreakCount="1">
    <brk id="46" max="26" man="1"/>
  </rowBreaks>
  <ignoredErrors>
    <ignoredError sqref="U21 U30 W42 Y42 AA42" formula="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45"/>
  <sheetViews>
    <sheetView showGridLines="0" zoomScaleSheetLayoutView="85" zoomScalePageLayoutView="0" workbookViewId="0" topLeftCell="A3">
      <selection activeCell="AD26" sqref="AD26"/>
    </sheetView>
  </sheetViews>
  <sheetFormatPr defaultColWidth="9.140625" defaultRowHeight="12.75"/>
  <cols>
    <col min="1" max="1" width="16.2812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7.140625" style="2" customWidth="1"/>
    <col min="10" max="10" width="0.85546875" style="2" customWidth="1"/>
    <col min="11" max="11" width="7.710937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421875" style="2" customWidth="1"/>
    <col min="18" max="18" width="0.85546875" style="2" customWidth="1"/>
    <col min="19" max="19" width="12.421875" style="2" customWidth="1"/>
    <col min="20" max="20" width="0.85546875" style="2" customWidth="1"/>
    <col min="21" max="21" width="8.7109375" style="2" customWidth="1"/>
    <col min="22" max="22" width="0.85546875" style="2" customWidth="1"/>
    <col min="23" max="23" width="7.421875" style="2" customWidth="1"/>
    <col min="24" max="24" width="0.9921875" style="2" customWidth="1"/>
    <col min="25" max="25" width="7.7109375" style="2" customWidth="1"/>
    <col min="26" max="26" width="1.28515625" style="2" customWidth="1"/>
    <col min="27" max="27" width="7.8515625" style="2" customWidth="1"/>
    <col min="28" max="16384" width="9.140625" style="2" customWidth="1"/>
  </cols>
  <sheetData>
    <row r="1" spans="1:21" ht="15">
      <c r="A1" s="1">
        <v>42381</v>
      </c>
      <c r="C1" s="3"/>
      <c r="U1" s="4"/>
    </row>
    <row r="2" spans="1:27" ht="16.5">
      <c r="A2" s="5" t="s">
        <v>132</v>
      </c>
      <c r="B2" s="6"/>
      <c r="C2" s="6"/>
      <c r="D2" s="6"/>
      <c r="E2" s="6"/>
      <c r="F2" s="6"/>
      <c r="G2" s="6"/>
      <c r="H2" s="6"/>
      <c r="I2" s="6"/>
      <c r="J2" s="6"/>
      <c r="K2" s="6"/>
      <c r="L2" s="6"/>
      <c r="M2" s="6"/>
      <c r="N2" s="6"/>
      <c r="O2" s="6"/>
      <c r="P2" s="6"/>
      <c r="Q2" s="6"/>
      <c r="R2" s="6"/>
      <c r="S2" s="6"/>
      <c r="T2" s="6"/>
      <c r="U2" s="6"/>
      <c r="V2" s="6"/>
      <c r="W2" s="6"/>
      <c r="X2" s="6"/>
      <c r="Y2" s="6"/>
      <c r="Z2" s="6"/>
      <c r="AA2" s="6"/>
    </row>
    <row r="3" spans="1:27" ht="15.75" thickBot="1">
      <c r="A3" s="7"/>
      <c r="B3" s="7"/>
      <c r="C3" s="7"/>
      <c r="D3" s="7"/>
      <c r="E3" s="7"/>
      <c r="F3" s="7"/>
      <c r="G3" s="7"/>
      <c r="H3" s="7"/>
      <c r="I3" s="7"/>
      <c r="J3" s="7"/>
      <c r="K3" s="7"/>
      <c r="L3" s="7"/>
      <c r="M3" s="7"/>
      <c r="N3" s="7"/>
      <c r="O3" s="7"/>
      <c r="P3" s="7"/>
      <c r="Q3" s="7"/>
      <c r="R3" s="7"/>
      <c r="S3" s="7"/>
      <c r="T3" s="7"/>
      <c r="U3" s="7"/>
      <c r="V3" s="7"/>
      <c r="W3" s="7"/>
      <c r="X3" s="7"/>
      <c r="Y3" s="7"/>
      <c r="Z3" s="7"/>
      <c r="AA3" s="7"/>
    </row>
    <row r="4" ht="15">
      <c r="U4" s="4"/>
    </row>
    <row r="5" spans="1:27" ht="15">
      <c r="A5" s="9"/>
      <c r="B5" s="9"/>
      <c r="C5" s="51" t="s">
        <v>0</v>
      </c>
      <c r="D5" s="10"/>
      <c r="E5" s="51" t="s">
        <v>46</v>
      </c>
      <c r="F5" s="11"/>
      <c r="G5" s="51" t="s">
        <v>47</v>
      </c>
      <c r="H5" s="11"/>
      <c r="I5" s="51" t="s">
        <v>48</v>
      </c>
      <c r="J5" s="10"/>
      <c r="K5" s="51" t="s">
        <v>78</v>
      </c>
      <c r="L5" s="11"/>
      <c r="M5" s="51" t="s">
        <v>50</v>
      </c>
      <c r="N5" s="10"/>
      <c r="O5" s="51" t="s">
        <v>51</v>
      </c>
      <c r="P5" s="11"/>
      <c r="Q5" s="51" t="s">
        <v>52</v>
      </c>
      <c r="R5" s="11"/>
      <c r="S5" s="51" t="s">
        <v>53</v>
      </c>
      <c r="T5" s="11"/>
      <c r="U5" s="51" t="s">
        <v>54</v>
      </c>
      <c r="V5" s="10"/>
      <c r="W5" s="51" t="s">
        <v>55</v>
      </c>
      <c r="X5" s="12"/>
      <c r="Y5" s="51" t="s">
        <v>56</v>
      </c>
      <c r="Z5" s="12"/>
      <c r="AA5" s="51" t="s">
        <v>57</v>
      </c>
    </row>
    <row r="6" spans="1:27" ht="15">
      <c r="A6" s="12"/>
      <c r="B6" s="9"/>
      <c r="C6" s="52"/>
      <c r="D6" s="10"/>
      <c r="E6" s="52"/>
      <c r="F6" s="11"/>
      <c r="G6" s="52"/>
      <c r="H6" s="11"/>
      <c r="I6" s="52"/>
      <c r="J6" s="10"/>
      <c r="K6" s="52"/>
      <c r="L6" s="11"/>
      <c r="M6" s="52"/>
      <c r="N6" s="13"/>
      <c r="O6" s="52"/>
      <c r="P6" s="11"/>
      <c r="Q6" s="52"/>
      <c r="R6" s="11"/>
      <c r="S6" s="52"/>
      <c r="T6" s="11"/>
      <c r="U6" s="52"/>
      <c r="V6" s="10"/>
      <c r="W6" s="52"/>
      <c r="X6" s="12"/>
      <c r="Y6" s="52"/>
      <c r="Z6" s="12"/>
      <c r="AA6" s="52"/>
    </row>
    <row r="7" spans="1:27" ht="15">
      <c r="A7" s="14"/>
      <c r="B7" s="9"/>
      <c r="C7" s="52"/>
      <c r="D7" s="10"/>
      <c r="E7" s="52"/>
      <c r="F7" s="11"/>
      <c r="G7" s="52"/>
      <c r="H7" s="11"/>
      <c r="I7" s="52"/>
      <c r="J7" s="10"/>
      <c r="K7" s="52"/>
      <c r="L7" s="11"/>
      <c r="M7" s="52"/>
      <c r="N7" s="13"/>
      <c r="O7" s="52"/>
      <c r="P7" s="11"/>
      <c r="Q7" s="52"/>
      <c r="R7" s="11"/>
      <c r="S7" s="52"/>
      <c r="T7" s="11"/>
      <c r="U7" s="52"/>
      <c r="V7" s="10"/>
      <c r="W7" s="52"/>
      <c r="X7" s="12"/>
      <c r="Y7" s="52"/>
      <c r="Z7" s="12"/>
      <c r="AA7" s="52"/>
    </row>
    <row r="8" spans="1:27" ht="15">
      <c r="A8" s="14" t="s">
        <v>1</v>
      </c>
      <c r="B8" s="9"/>
      <c r="C8" s="52"/>
      <c r="D8" s="10"/>
      <c r="E8" s="52"/>
      <c r="F8" s="11"/>
      <c r="G8" s="52"/>
      <c r="H8" s="11"/>
      <c r="I8" s="52"/>
      <c r="J8" s="10"/>
      <c r="K8" s="52"/>
      <c r="L8" s="11"/>
      <c r="M8" s="52"/>
      <c r="N8" s="13"/>
      <c r="O8" s="52"/>
      <c r="P8" s="11"/>
      <c r="Q8" s="52"/>
      <c r="R8" s="11"/>
      <c r="S8" s="52"/>
      <c r="T8" s="11"/>
      <c r="U8" s="52"/>
      <c r="V8" s="10"/>
      <c r="W8" s="52"/>
      <c r="X8" s="12"/>
      <c r="Y8" s="52"/>
      <c r="Z8" s="12"/>
      <c r="AA8" s="52"/>
    </row>
    <row r="9" spans="1:27" ht="15">
      <c r="A9" s="15"/>
      <c r="B9" s="15"/>
      <c r="C9" s="16"/>
      <c r="D9" s="17"/>
      <c r="E9" s="16"/>
      <c r="F9" s="18"/>
      <c r="G9" s="16"/>
      <c r="H9" s="18"/>
      <c r="I9" s="16"/>
      <c r="J9" s="17"/>
      <c r="K9" s="16"/>
      <c r="L9" s="18"/>
      <c r="M9" s="16"/>
      <c r="N9" s="16"/>
      <c r="O9" s="18"/>
      <c r="P9" s="18"/>
      <c r="Q9" s="18"/>
      <c r="R9" s="18"/>
      <c r="S9" s="18"/>
      <c r="T9" s="18"/>
      <c r="U9" s="15"/>
      <c r="V9" s="17"/>
      <c r="W9" s="16"/>
      <c r="X9" s="16"/>
      <c r="Y9" s="16"/>
      <c r="Z9" s="16"/>
      <c r="AA9" s="16"/>
    </row>
    <row r="10" ht="15">
      <c r="U10" s="4"/>
    </row>
    <row r="11" spans="1:27" ht="16.5">
      <c r="A11" s="34" t="s">
        <v>58</v>
      </c>
      <c r="B11" s="35"/>
      <c r="C11" s="36" t="s">
        <v>2</v>
      </c>
      <c r="D11" s="35"/>
      <c r="E11" s="35">
        <v>30</v>
      </c>
      <c r="F11" s="35"/>
      <c r="G11" s="35">
        <v>142.86</v>
      </c>
      <c r="H11" s="35"/>
      <c r="I11" s="37">
        <v>100</v>
      </c>
      <c r="J11" s="37"/>
      <c r="K11" s="35"/>
      <c r="L11" s="35"/>
      <c r="M11" s="35">
        <v>49</v>
      </c>
      <c r="N11" s="35"/>
      <c r="O11" s="35">
        <v>142.9</v>
      </c>
      <c r="P11" s="35"/>
      <c r="Q11" s="35">
        <v>30</v>
      </c>
      <c r="R11" s="35"/>
      <c r="S11" s="35">
        <v>42.9</v>
      </c>
      <c r="T11" s="35"/>
      <c r="U11" s="35">
        <v>27.12</v>
      </c>
      <c r="V11" s="35"/>
      <c r="W11" s="38">
        <v>48.99</v>
      </c>
      <c r="X11" s="35"/>
      <c r="Y11" s="35">
        <v>61.24</v>
      </c>
      <c r="Z11" s="35"/>
      <c r="AA11" s="35">
        <v>38.76</v>
      </c>
    </row>
    <row r="12" spans="1:27" ht="15">
      <c r="A12" s="12" t="s">
        <v>3</v>
      </c>
      <c r="C12" s="39" t="s">
        <v>4</v>
      </c>
      <c r="D12" s="40"/>
      <c r="E12" s="40">
        <v>25</v>
      </c>
      <c r="F12" s="40"/>
      <c r="G12" s="40">
        <v>133.33</v>
      </c>
      <c r="H12" s="40"/>
      <c r="I12" s="41">
        <v>100</v>
      </c>
      <c r="J12" s="41"/>
      <c r="K12" s="40">
        <v>25</v>
      </c>
      <c r="L12" s="40"/>
      <c r="M12" s="38">
        <v>25</v>
      </c>
      <c r="N12" s="40"/>
      <c r="O12" s="40"/>
      <c r="P12" s="40"/>
      <c r="Q12" s="40"/>
      <c r="R12" s="40"/>
      <c r="S12" s="40"/>
      <c r="T12" s="40"/>
      <c r="U12" s="38">
        <v>25</v>
      </c>
      <c r="V12" s="38"/>
      <c r="W12" s="38">
        <v>43.75</v>
      </c>
      <c r="X12" s="38"/>
      <c r="Y12" s="38">
        <v>57.14</v>
      </c>
      <c r="Z12" s="38"/>
      <c r="AA12" s="38">
        <v>42.86</v>
      </c>
    </row>
    <row r="13" spans="1:27" ht="16.5">
      <c r="A13" s="12" t="s">
        <v>59</v>
      </c>
      <c r="B13" s="48"/>
      <c r="C13" s="39" t="s">
        <v>4</v>
      </c>
      <c r="D13" s="40"/>
      <c r="E13" s="40">
        <v>33.99</v>
      </c>
      <c r="F13" s="40"/>
      <c r="G13" s="40">
        <v>151.49</v>
      </c>
      <c r="H13" s="40"/>
      <c r="I13" s="41">
        <v>100</v>
      </c>
      <c r="J13" s="41"/>
      <c r="K13" s="40"/>
      <c r="L13" s="40"/>
      <c r="M13" s="38">
        <v>25</v>
      </c>
      <c r="N13" s="40"/>
      <c r="O13" s="40"/>
      <c r="P13" s="40"/>
      <c r="Q13" s="40"/>
      <c r="R13" s="40"/>
      <c r="S13" s="40"/>
      <c r="T13" s="40"/>
      <c r="U13" s="38">
        <v>25</v>
      </c>
      <c r="V13" s="38"/>
      <c r="W13" s="38">
        <v>50.49</v>
      </c>
      <c r="X13" s="38"/>
      <c r="Y13" s="38">
        <v>67.32</v>
      </c>
      <c r="Z13" s="38"/>
      <c r="AA13" s="38">
        <v>32.68</v>
      </c>
    </row>
    <row r="14" spans="1:27" ht="16.5">
      <c r="A14" s="42" t="s">
        <v>87</v>
      </c>
      <c r="B14" s="49"/>
      <c r="C14" s="39" t="s">
        <v>2</v>
      </c>
      <c r="D14" s="40"/>
      <c r="E14" s="40">
        <v>26.3</v>
      </c>
      <c r="F14" s="40"/>
      <c r="G14" s="40">
        <v>135.69</v>
      </c>
      <c r="H14" s="40"/>
      <c r="I14" s="41">
        <v>100</v>
      </c>
      <c r="J14" s="41"/>
      <c r="K14" s="40"/>
      <c r="L14" s="40"/>
      <c r="M14" s="38">
        <v>49.53</v>
      </c>
      <c r="N14" s="40"/>
      <c r="O14" s="40">
        <v>138</v>
      </c>
      <c r="P14" s="40"/>
      <c r="Q14" s="40">
        <v>25.02</v>
      </c>
      <c r="R14" s="40"/>
      <c r="S14" s="40">
        <v>34.53</v>
      </c>
      <c r="T14" s="40"/>
      <c r="U14" s="38">
        <v>33.82</v>
      </c>
      <c r="V14" s="38"/>
      <c r="W14" s="38">
        <v>51.23</v>
      </c>
      <c r="X14" s="38"/>
      <c r="Y14" s="38">
        <v>51.34</v>
      </c>
      <c r="Z14" s="38"/>
      <c r="AA14" s="38">
        <v>48.66</v>
      </c>
    </row>
    <row r="15" spans="1:27" ht="16.5">
      <c r="A15" s="12" t="s">
        <v>41</v>
      </c>
      <c r="B15" s="49"/>
      <c r="C15" s="39" t="s">
        <v>2</v>
      </c>
      <c r="D15" s="40"/>
      <c r="E15" s="40">
        <v>22.5</v>
      </c>
      <c r="F15" s="40"/>
      <c r="G15" s="40">
        <v>129.03</v>
      </c>
      <c r="H15" s="40"/>
      <c r="I15" s="41">
        <v>100</v>
      </c>
      <c r="J15" s="41"/>
      <c r="K15" s="40"/>
      <c r="L15" s="40"/>
      <c r="M15" s="38">
        <v>40</v>
      </c>
      <c r="N15" s="40"/>
      <c r="O15" s="40">
        <v>129.03</v>
      </c>
      <c r="P15" s="40"/>
      <c r="Q15" s="40">
        <v>22.5</v>
      </c>
      <c r="R15" s="40"/>
      <c r="S15" s="40">
        <v>29.03</v>
      </c>
      <c r="T15" s="40" t="s">
        <v>40</v>
      </c>
      <c r="U15" s="38">
        <v>22.58</v>
      </c>
      <c r="V15" s="38"/>
      <c r="W15" s="38">
        <v>40</v>
      </c>
      <c r="X15" s="38"/>
      <c r="Y15" s="38">
        <v>56.25</v>
      </c>
      <c r="Z15" s="38"/>
      <c r="AA15" s="38">
        <v>43.75</v>
      </c>
    </row>
    <row r="16" spans="1:27" ht="16.5">
      <c r="A16" s="42" t="s">
        <v>7</v>
      </c>
      <c r="B16" s="49"/>
      <c r="C16" s="39" t="s">
        <v>4</v>
      </c>
      <c r="D16" s="40"/>
      <c r="E16" s="40">
        <v>19</v>
      </c>
      <c r="F16" s="40"/>
      <c r="G16" s="40">
        <v>123.46</v>
      </c>
      <c r="H16" s="40"/>
      <c r="I16" s="41">
        <v>100</v>
      </c>
      <c r="J16" s="41"/>
      <c r="K16" s="40">
        <v>15</v>
      </c>
      <c r="L16" s="40"/>
      <c r="M16" s="38">
        <v>15</v>
      </c>
      <c r="N16" s="40"/>
      <c r="O16" s="40"/>
      <c r="P16" s="40"/>
      <c r="Q16" s="40"/>
      <c r="R16" s="40"/>
      <c r="S16" s="40"/>
      <c r="T16" s="40"/>
      <c r="U16" s="38">
        <v>15</v>
      </c>
      <c r="V16" s="38"/>
      <c r="W16" s="38">
        <v>31.15</v>
      </c>
      <c r="X16" s="38"/>
      <c r="Y16" s="38">
        <v>61</v>
      </c>
      <c r="Z16" s="38"/>
      <c r="AA16" s="38">
        <v>39.01</v>
      </c>
    </row>
    <row r="17" spans="1:27" ht="16.5">
      <c r="A17" s="42" t="s">
        <v>8</v>
      </c>
      <c r="B17" s="49"/>
      <c r="C17" s="39" t="s">
        <v>29</v>
      </c>
      <c r="D17" s="40"/>
      <c r="E17" s="40">
        <v>23.5</v>
      </c>
      <c r="F17" s="40"/>
      <c r="G17" s="40">
        <v>130.72</v>
      </c>
      <c r="H17" s="40"/>
      <c r="I17" s="41">
        <v>100</v>
      </c>
      <c r="J17" s="41"/>
      <c r="K17" s="40"/>
      <c r="L17" s="40"/>
      <c r="M17" s="38">
        <v>42</v>
      </c>
      <c r="N17" s="40"/>
      <c r="O17" s="40"/>
      <c r="P17" s="40"/>
      <c r="Q17" s="40"/>
      <c r="R17" s="40"/>
      <c r="S17" s="40"/>
      <c r="T17" s="40"/>
      <c r="U17" s="38">
        <v>42</v>
      </c>
      <c r="V17" s="38"/>
      <c r="W17" s="38">
        <v>55.63</v>
      </c>
      <c r="X17" s="38"/>
      <c r="Y17" s="38">
        <v>42.24</v>
      </c>
      <c r="Z17" s="38" t="e">
        <f>+T17/(F17-H17+T17)*100</f>
        <v>#DIV/0!</v>
      </c>
      <c r="AA17" s="38">
        <v>57.76</v>
      </c>
    </row>
    <row r="18" spans="1:27" ht="16.5">
      <c r="A18" s="34" t="s">
        <v>44</v>
      </c>
      <c r="B18" s="50"/>
      <c r="C18" s="36" t="s">
        <v>30</v>
      </c>
      <c r="D18" s="35"/>
      <c r="E18" s="35">
        <v>20</v>
      </c>
      <c r="F18" s="35"/>
      <c r="G18" s="35">
        <v>125</v>
      </c>
      <c r="H18" s="35"/>
      <c r="I18" s="37">
        <v>100</v>
      </c>
      <c r="J18" s="37"/>
      <c r="K18" s="35"/>
      <c r="L18" s="35"/>
      <c r="M18" s="43">
        <v>0</v>
      </c>
      <c r="N18" s="35"/>
      <c r="O18" s="35"/>
      <c r="P18" s="35"/>
      <c r="Q18" s="35"/>
      <c r="R18" s="35"/>
      <c r="S18" s="35"/>
      <c r="T18" s="35"/>
      <c r="U18" s="43">
        <v>0</v>
      </c>
      <c r="V18" s="43"/>
      <c r="W18" s="43">
        <v>20</v>
      </c>
      <c r="X18" s="43"/>
      <c r="Y18" s="44">
        <v>100</v>
      </c>
      <c r="Z18" s="43"/>
      <c r="AA18" s="43">
        <v>0</v>
      </c>
    </row>
    <row r="19" spans="1:27" ht="16.5">
      <c r="A19" s="12" t="s">
        <v>88</v>
      </c>
      <c r="B19" s="49"/>
      <c r="C19" s="39" t="s">
        <v>25</v>
      </c>
      <c r="D19" s="40"/>
      <c r="E19" s="40">
        <v>20</v>
      </c>
      <c r="F19" s="40"/>
      <c r="G19" s="40">
        <v>125</v>
      </c>
      <c r="H19" s="40"/>
      <c r="I19" s="41">
        <v>100</v>
      </c>
      <c r="J19" s="41"/>
      <c r="K19" s="40"/>
      <c r="L19" s="40"/>
      <c r="M19" s="38">
        <v>33</v>
      </c>
      <c r="N19" s="40"/>
      <c r="O19" s="40"/>
      <c r="P19" s="40"/>
      <c r="Q19" s="40"/>
      <c r="R19" s="40"/>
      <c r="S19" s="40"/>
      <c r="T19" s="40"/>
      <c r="U19" s="38">
        <v>28.05</v>
      </c>
      <c r="V19" s="38"/>
      <c r="W19" s="38">
        <v>42.44</v>
      </c>
      <c r="X19" s="38"/>
      <c r="Y19" s="38">
        <v>47.13</v>
      </c>
      <c r="Z19" s="38"/>
      <c r="AA19" s="38">
        <v>52.88</v>
      </c>
    </row>
    <row r="20" spans="1:27" ht="16.5">
      <c r="A20" s="42" t="s">
        <v>89</v>
      </c>
      <c r="B20" s="49"/>
      <c r="C20" s="39" t="s">
        <v>25</v>
      </c>
      <c r="D20" s="40"/>
      <c r="E20" s="40">
        <v>36.4</v>
      </c>
      <c r="F20" s="40"/>
      <c r="G20" s="40">
        <v>157.23</v>
      </c>
      <c r="H20" s="40"/>
      <c r="I20" s="41">
        <v>100</v>
      </c>
      <c r="J20" s="41"/>
      <c r="K20" s="40"/>
      <c r="L20" s="40"/>
      <c r="M20" s="38">
        <v>44</v>
      </c>
      <c r="N20" s="40"/>
      <c r="O20" s="40"/>
      <c r="P20" s="40"/>
      <c r="Q20" s="40"/>
      <c r="R20" s="40"/>
      <c r="S20" s="40"/>
      <c r="T20" s="40"/>
      <c r="U20" s="38">
        <v>44</v>
      </c>
      <c r="V20" s="38"/>
      <c r="W20" s="38">
        <v>64.38</v>
      </c>
      <c r="X20" s="38"/>
      <c r="Y20" s="38">
        <v>56.53</v>
      </c>
      <c r="Z20" s="38"/>
      <c r="AA20" s="38">
        <v>43.47</v>
      </c>
    </row>
    <row r="21" spans="1:27" ht="16.5">
      <c r="A21" s="12" t="s">
        <v>9</v>
      </c>
      <c r="B21" s="49"/>
      <c r="C21" s="39" t="s">
        <v>4</v>
      </c>
      <c r="D21" s="40"/>
      <c r="E21" s="40">
        <v>30.18</v>
      </c>
      <c r="F21" s="40"/>
      <c r="G21" s="40">
        <v>143.22</v>
      </c>
      <c r="H21" s="40"/>
      <c r="I21" s="41">
        <v>100</v>
      </c>
      <c r="J21" s="41"/>
      <c r="K21" s="40">
        <v>26.38</v>
      </c>
      <c r="L21" s="40"/>
      <c r="M21" s="38">
        <v>26.38</v>
      </c>
      <c r="N21" s="40"/>
      <c r="O21" s="40"/>
      <c r="P21" s="40"/>
      <c r="Q21" s="40"/>
      <c r="R21" s="40"/>
      <c r="S21" s="40"/>
      <c r="T21" s="40"/>
      <c r="U21" s="38">
        <v>26.38</v>
      </c>
      <c r="V21" s="38"/>
      <c r="W21" s="38">
        <v>48.59</v>
      </c>
      <c r="X21" s="38"/>
      <c r="Y21" s="38">
        <v>62.1</v>
      </c>
      <c r="Z21" s="38"/>
      <c r="AA21" s="38">
        <v>37.9</v>
      </c>
    </row>
    <row r="22" spans="1:27" ht="16.5">
      <c r="A22" s="34" t="s">
        <v>119</v>
      </c>
      <c r="B22" s="50"/>
      <c r="C22" s="36" t="s">
        <v>4</v>
      </c>
      <c r="D22" s="35"/>
      <c r="E22" s="35">
        <v>26</v>
      </c>
      <c r="F22" s="35"/>
      <c r="G22" s="35">
        <v>135.14</v>
      </c>
      <c r="H22" s="35"/>
      <c r="I22" s="37">
        <v>100</v>
      </c>
      <c r="J22" s="37"/>
      <c r="K22" s="35">
        <v>10</v>
      </c>
      <c r="L22" s="35"/>
      <c r="M22" s="35">
        <v>10</v>
      </c>
      <c r="N22" s="35"/>
      <c r="O22" s="35"/>
      <c r="P22" s="35"/>
      <c r="Q22" s="35"/>
      <c r="R22" s="35"/>
      <c r="S22" s="35"/>
      <c r="T22" s="35"/>
      <c r="U22" s="35">
        <v>10</v>
      </c>
      <c r="V22" s="35"/>
      <c r="W22" s="35">
        <v>33.4</v>
      </c>
      <c r="X22" s="35"/>
      <c r="Y22" s="35">
        <v>77.84</v>
      </c>
      <c r="Z22" s="35"/>
      <c r="AA22" s="35">
        <v>22.16</v>
      </c>
    </row>
    <row r="23" spans="1:27" ht="16.5">
      <c r="A23" s="12" t="s">
        <v>37</v>
      </c>
      <c r="B23" s="48"/>
      <c r="C23" s="39" t="s">
        <v>27</v>
      </c>
      <c r="D23" s="40"/>
      <c r="E23" s="40">
        <v>19</v>
      </c>
      <c r="F23" s="40"/>
      <c r="G23" s="40">
        <v>123.46</v>
      </c>
      <c r="H23" s="40"/>
      <c r="I23" s="41">
        <v>100</v>
      </c>
      <c r="J23" s="41"/>
      <c r="K23" s="40"/>
      <c r="L23" s="40"/>
      <c r="M23" s="38">
        <v>16</v>
      </c>
      <c r="N23" s="40"/>
      <c r="O23" s="40"/>
      <c r="P23" s="40"/>
      <c r="Q23" s="40"/>
      <c r="R23" s="40"/>
      <c r="S23" s="40"/>
      <c r="T23" s="40"/>
      <c r="U23" s="38">
        <v>16</v>
      </c>
      <c r="V23" s="38"/>
      <c r="W23" s="38">
        <v>31.96</v>
      </c>
      <c r="X23" s="38"/>
      <c r="Y23" s="38">
        <v>59.45</v>
      </c>
      <c r="Z23" s="38"/>
      <c r="AA23" s="38">
        <v>40.55</v>
      </c>
    </row>
    <row r="24" spans="1:27" ht="16.5">
      <c r="A24" s="34" t="s">
        <v>120</v>
      </c>
      <c r="B24" s="50"/>
      <c r="C24" s="36" t="s">
        <v>4</v>
      </c>
      <c r="D24" s="35"/>
      <c r="E24" s="35">
        <v>20</v>
      </c>
      <c r="F24" s="35"/>
      <c r="G24" s="35">
        <v>125</v>
      </c>
      <c r="H24" s="35"/>
      <c r="I24" s="37">
        <v>100</v>
      </c>
      <c r="J24" s="37"/>
      <c r="K24" s="35"/>
      <c r="L24" s="35"/>
      <c r="M24" s="35">
        <v>20</v>
      </c>
      <c r="N24" s="35"/>
      <c r="O24" s="35"/>
      <c r="P24" s="35"/>
      <c r="Q24" s="35"/>
      <c r="R24" s="35"/>
      <c r="S24" s="35"/>
      <c r="T24" s="35"/>
      <c r="U24" s="35">
        <v>20</v>
      </c>
      <c r="V24" s="35"/>
      <c r="W24" s="35">
        <v>36</v>
      </c>
      <c r="X24" s="35"/>
      <c r="Y24" s="35">
        <v>55.56</v>
      </c>
      <c r="Z24" s="35"/>
      <c r="AA24" s="35">
        <v>44.44</v>
      </c>
    </row>
    <row r="25" spans="1:27" ht="16.5">
      <c r="A25" s="42" t="s">
        <v>12</v>
      </c>
      <c r="B25" s="49"/>
      <c r="C25" s="39" t="s">
        <v>4</v>
      </c>
      <c r="D25" s="40"/>
      <c r="E25" s="40">
        <v>12.5</v>
      </c>
      <c r="F25" s="40"/>
      <c r="G25" s="40">
        <v>114.29</v>
      </c>
      <c r="H25" s="40"/>
      <c r="I25" s="41">
        <v>100</v>
      </c>
      <c r="J25" s="41"/>
      <c r="K25" s="40"/>
      <c r="L25" s="40"/>
      <c r="M25" s="38">
        <v>51</v>
      </c>
      <c r="N25" s="40"/>
      <c r="O25" s="40"/>
      <c r="P25" s="40"/>
      <c r="Q25" s="40"/>
      <c r="R25" s="40"/>
      <c r="S25" s="40"/>
      <c r="T25" s="40"/>
      <c r="U25" s="38">
        <v>51</v>
      </c>
      <c r="V25" s="38"/>
      <c r="W25" s="38">
        <v>57.13</v>
      </c>
      <c r="X25" s="38"/>
      <c r="Y25" s="38">
        <v>21.88</v>
      </c>
      <c r="Z25" s="38"/>
      <c r="AA25" s="38">
        <v>78.12</v>
      </c>
    </row>
    <row r="26" spans="1:27" ht="16.5">
      <c r="A26" s="42" t="s">
        <v>43</v>
      </c>
      <c r="B26" s="49"/>
      <c r="C26" s="39" t="s">
        <v>29</v>
      </c>
      <c r="D26" s="40"/>
      <c r="E26" s="40">
        <v>26.5</v>
      </c>
      <c r="F26" s="40"/>
      <c r="G26" s="40">
        <v>136.05</v>
      </c>
      <c r="H26" s="40"/>
      <c r="I26" s="41">
        <v>100</v>
      </c>
      <c r="J26" s="41"/>
      <c r="K26" s="40"/>
      <c r="L26" s="40"/>
      <c r="M26" s="38">
        <v>30</v>
      </c>
      <c r="N26" s="40"/>
      <c r="O26" s="40"/>
      <c r="P26" s="40"/>
      <c r="Q26" s="40"/>
      <c r="R26" s="40"/>
      <c r="S26" s="40"/>
      <c r="T26" s="40"/>
      <c r="U26" s="38">
        <v>30</v>
      </c>
      <c r="V26" s="38"/>
      <c r="W26" s="38">
        <v>48.55</v>
      </c>
      <c r="X26" s="38"/>
      <c r="Y26" s="38">
        <v>54.58</v>
      </c>
      <c r="Z26" s="38"/>
      <c r="AA26" s="38">
        <v>45.42</v>
      </c>
    </row>
    <row r="27" spans="1:27" ht="16.5">
      <c r="A27" s="42" t="s">
        <v>121</v>
      </c>
      <c r="B27" s="49"/>
      <c r="C27" s="39" t="s">
        <v>38</v>
      </c>
      <c r="D27" s="40"/>
      <c r="E27" s="40">
        <v>27.5</v>
      </c>
      <c r="F27" s="40"/>
      <c r="G27" s="40">
        <v>137.93</v>
      </c>
      <c r="H27" s="40"/>
      <c r="I27" s="41">
        <v>100</v>
      </c>
      <c r="J27" s="41"/>
      <c r="K27" s="40">
        <v>26</v>
      </c>
      <c r="L27" s="40"/>
      <c r="M27" s="38">
        <v>26</v>
      </c>
      <c r="N27" s="40"/>
      <c r="O27" s="40"/>
      <c r="P27" s="40"/>
      <c r="Q27" s="40"/>
      <c r="R27" s="40"/>
      <c r="S27" s="40"/>
      <c r="T27" s="40"/>
      <c r="U27" s="38">
        <v>26</v>
      </c>
      <c r="V27" s="38"/>
      <c r="W27" s="38">
        <v>46.35</v>
      </c>
      <c r="X27" s="38"/>
      <c r="Y27" s="38">
        <v>59.33</v>
      </c>
      <c r="Z27" s="38"/>
      <c r="AA27" s="38">
        <v>40.67</v>
      </c>
    </row>
    <row r="28" spans="1:27" s="47" customFormat="1" ht="13.5" customHeight="1">
      <c r="A28" s="42" t="s">
        <v>122</v>
      </c>
      <c r="B28" s="49"/>
      <c r="C28" s="39" t="s">
        <v>29</v>
      </c>
      <c r="D28" s="40"/>
      <c r="E28" s="40">
        <v>32.11</v>
      </c>
      <c r="F28" s="40"/>
      <c r="G28" s="40">
        <v>147.3</v>
      </c>
      <c r="H28" s="40"/>
      <c r="I28" s="41">
        <v>100</v>
      </c>
      <c r="J28" s="41"/>
      <c r="K28" s="40">
        <v>20.32</v>
      </c>
      <c r="L28" s="40"/>
      <c r="M28" s="38">
        <v>20.32</v>
      </c>
      <c r="N28" s="40"/>
      <c r="O28" s="40"/>
      <c r="P28" s="40"/>
      <c r="Q28" s="40"/>
      <c r="R28" s="40"/>
      <c r="S28" s="40"/>
      <c r="T28" s="40"/>
      <c r="U28" s="38">
        <v>20.32</v>
      </c>
      <c r="V28" s="38"/>
      <c r="W28" s="38">
        <v>45.9</v>
      </c>
      <c r="X28" s="38"/>
      <c r="Y28" s="38">
        <v>69.95</v>
      </c>
      <c r="Z28" s="38"/>
      <c r="AA28" s="38">
        <v>30.05</v>
      </c>
    </row>
    <row r="29" spans="1:27" ht="16.5">
      <c r="A29" s="42" t="s">
        <v>15</v>
      </c>
      <c r="B29" s="49"/>
      <c r="C29" s="39" t="s">
        <v>6</v>
      </c>
      <c r="D29" s="40"/>
      <c r="E29" s="40">
        <v>24.2</v>
      </c>
      <c r="F29" s="40"/>
      <c r="G29" s="40">
        <v>131.93</v>
      </c>
      <c r="H29" s="40"/>
      <c r="I29" s="41">
        <v>100</v>
      </c>
      <c r="J29" s="41"/>
      <c r="K29" s="40"/>
      <c r="L29" s="40"/>
      <c r="M29" s="38">
        <v>41.8</v>
      </c>
      <c r="N29" s="40"/>
      <c r="O29" s="40">
        <v>111</v>
      </c>
      <c r="P29" s="40"/>
      <c r="Q29" s="40">
        <v>9.91</v>
      </c>
      <c r="R29" s="40"/>
      <c r="S29" s="40">
        <v>11</v>
      </c>
      <c r="T29" s="40"/>
      <c r="U29" s="38">
        <v>35.4</v>
      </c>
      <c r="V29" s="38"/>
      <c r="W29" s="38">
        <v>51.03</v>
      </c>
      <c r="X29" s="38"/>
      <c r="Y29" s="38">
        <v>47.42</v>
      </c>
      <c r="Z29" s="38"/>
      <c r="AA29" s="38">
        <v>52.58</v>
      </c>
    </row>
    <row r="30" spans="1:27" ht="16.5">
      <c r="A30" s="42" t="s">
        <v>16</v>
      </c>
      <c r="B30" s="49"/>
      <c r="C30" s="39" t="s">
        <v>25</v>
      </c>
      <c r="D30" s="40"/>
      <c r="E30" s="40">
        <v>29.22</v>
      </c>
      <c r="F30" s="40"/>
      <c r="G30" s="40">
        <v>141.28</v>
      </c>
      <c r="H30" s="40"/>
      <c r="I30" s="41">
        <v>100</v>
      </c>
      <c r="J30" s="41"/>
      <c r="K30" s="40"/>
      <c r="L30" s="40"/>
      <c r="M30" s="38">
        <v>40</v>
      </c>
      <c r="N30" s="40"/>
      <c r="O30" s="40"/>
      <c r="P30" s="40"/>
      <c r="Q30" s="40"/>
      <c r="R30" s="40"/>
      <c r="S30" s="40"/>
      <c r="T30" s="40"/>
      <c r="U30" s="38">
        <v>20</v>
      </c>
      <c r="V30" s="38"/>
      <c r="W30" s="38">
        <v>43.38</v>
      </c>
      <c r="X30" s="38"/>
      <c r="Y30" s="38">
        <v>67.36</v>
      </c>
      <c r="Z30" s="38"/>
      <c r="AA30" s="38">
        <v>32.64</v>
      </c>
    </row>
    <row r="31" spans="1:27" ht="16.5">
      <c r="A31" s="42" t="s">
        <v>35</v>
      </c>
      <c r="B31" s="49"/>
      <c r="C31" s="39" t="s">
        <v>2</v>
      </c>
      <c r="D31" s="40"/>
      <c r="E31" s="40">
        <v>30</v>
      </c>
      <c r="F31" s="40"/>
      <c r="G31" s="40">
        <v>142.86</v>
      </c>
      <c r="H31" s="40"/>
      <c r="I31" s="41">
        <v>100</v>
      </c>
      <c r="J31" s="41"/>
      <c r="K31" s="40">
        <v>10</v>
      </c>
      <c r="L31" s="40"/>
      <c r="M31" s="38">
        <v>42</v>
      </c>
      <c r="N31" s="40"/>
      <c r="O31" s="40">
        <v>142.86</v>
      </c>
      <c r="P31" s="40"/>
      <c r="Q31" s="40">
        <v>30</v>
      </c>
      <c r="R31" s="40"/>
      <c r="S31" s="40">
        <v>42.86</v>
      </c>
      <c r="T31" s="40"/>
      <c r="U31" s="38">
        <v>17.14</v>
      </c>
      <c r="V31" s="38"/>
      <c r="W31" s="38">
        <v>42</v>
      </c>
      <c r="X31" s="38"/>
      <c r="Y31" s="38">
        <v>71.43</v>
      </c>
      <c r="Z31" s="38"/>
      <c r="AA31" s="38">
        <v>28.57</v>
      </c>
    </row>
    <row r="32" spans="1:27" ht="16.5">
      <c r="A32" s="42" t="s">
        <v>123</v>
      </c>
      <c r="B32" s="49"/>
      <c r="C32" s="39" t="s">
        <v>4</v>
      </c>
      <c r="D32" s="40"/>
      <c r="E32" s="40">
        <v>25</v>
      </c>
      <c r="F32" s="40"/>
      <c r="G32" s="40">
        <v>133.33</v>
      </c>
      <c r="H32" s="40"/>
      <c r="I32" s="41">
        <v>100</v>
      </c>
      <c r="J32" s="41"/>
      <c r="K32" s="40"/>
      <c r="L32" s="40"/>
      <c r="M32" s="38">
        <v>25</v>
      </c>
      <c r="N32" s="40"/>
      <c r="O32" s="40"/>
      <c r="P32" s="40"/>
      <c r="Q32" s="40"/>
      <c r="R32" s="40"/>
      <c r="S32" s="40"/>
      <c r="T32" s="40"/>
      <c r="U32" s="38">
        <v>25</v>
      </c>
      <c r="V32" s="38"/>
      <c r="W32" s="38">
        <v>43.75</v>
      </c>
      <c r="X32" s="38"/>
      <c r="Y32" s="38">
        <v>57.14</v>
      </c>
      <c r="Z32" s="38"/>
      <c r="AA32" s="38">
        <v>42.86</v>
      </c>
    </row>
    <row r="33" spans="1:27" ht="16.5">
      <c r="A33" s="42" t="s">
        <v>124</v>
      </c>
      <c r="B33" s="49"/>
      <c r="C33" s="39" t="s">
        <v>2</v>
      </c>
      <c r="D33" s="40"/>
      <c r="E33" s="40">
        <v>28</v>
      </c>
      <c r="F33" s="40"/>
      <c r="G33" s="40">
        <v>138.89</v>
      </c>
      <c r="H33" s="40"/>
      <c r="I33" s="41">
        <v>100</v>
      </c>
      <c r="J33" s="41"/>
      <c r="K33" s="40"/>
      <c r="L33" s="40"/>
      <c r="M33" s="38">
        <v>33</v>
      </c>
      <c r="N33" s="40"/>
      <c r="O33" s="40">
        <v>138.89</v>
      </c>
      <c r="P33" s="40"/>
      <c r="Q33" s="40">
        <v>28</v>
      </c>
      <c r="R33" s="40"/>
      <c r="S33" s="40">
        <v>38.89</v>
      </c>
      <c r="T33" s="40"/>
      <c r="U33" s="38">
        <v>6.94</v>
      </c>
      <c r="V33" s="38"/>
      <c r="W33" s="38">
        <v>33</v>
      </c>
      <c r="X33" s="38"/>
      <c r="Y33" s="38">
        <v>84.85</v>
      </c>
      <c r="Z33" s="38"/>
      <c r="AA33" s="38">
        <v>15.15</v>
      </c>
    </row>
    <row r="34" spans="1:27" ht="16.5">
      <c r="A34" s="42" t="s">
        <v>125</v>
      </c>
      <c r="B34" s="49"/>
      <c r="C34" s="39" t="s">
        <v>27</v>
      </c>
      <c r="D34" s="40"/>
      <c r="E34" s="40">
        <v>27</v>
      </c>
      <c r="F34" s="40"/>
      <c r="G34" s="40">
        <v>136.99</v>
      </c>
      <c r="H34" s="40"/>
      <c r="I34" s="41">
        <v>100</v>
      </c>
      <c r="J34" s="41"/>
      <c r="K34" s="40"/>
      <c r="L34" s="40"/>
      <c r="M34" s="38">
        <v>27</v>
      </c>
      <c r="N34" s="40"/>
      <c r="O34" s="40"/>
      <c r="P34" s="40"/>
      <c r="Q34" s="40"/>
      <c r="R34" s="40"/>
      <c r="S34" s="40"/>
      <c r="T34" s="40"/>
      <c r="U34" s="38">
        <v>27</v>
      </c>
      <c r="V34" s="38"/>
      <c r="W34" s="38">
        <v>46.71</v>
      </c>
      <c r="X34" s="38"/>
      <c r="Y34" s="38">
        <v>57.8</v>
      </c>
      <c r="Z34" s="38"/>
      <c r="AA34" s="38">
        <v>42.2</v>
      </c>
    </row>
    <row r="35" spans="1:27" ht="16.5">
      <c r="A35" s="42" t="s">
        <v>36</v>
      </c>
      <c r="B35" s="49"/>
      <c r="C35" s="39" t="s">
        <v>29</v>
      </c>
      <c r="D35" s="40"/>
      <c r="E35" s="40">
        <v>19</v>
      </c>
      <c r="F35" s="40"/>
      <c r="G35" s="40">
        <v>123.46</v>
      </c>
      <c r="H35" s="40"/>
      <c r="I35" s="41">
        <v>100</v>
      </c>
      <c r="J35" s="41"/>
      <c r="K35" s="40">
        <v>19</v>
      </c>
      <c r="L35" s="40">
        <v>15</v>
      </c>
      <c r="M35" s="38">
        <v>19</v>
      </c>
      <c r="N35" s="40"/>
      <c r="O35" s="40"/>
      <c r="P35" s="40"/>
      <c r="Q35" s="40"/>
      <c r="R35" s="40"/>
      <c r="S35" s="40"/>
      <c r="T35" s="40"/>
      <c r="U35" s="38">
        <v>19</v>
      </c>
      <c r="V35" s="38"/>
      <c r="W35" s="38">
        <v>34.39</v>
      </c>
      <c r="X35" s="38"/>
      <c r="Y35" s="38">
        <v>55.25</v>
      </c>
      <c r="Z35" s="38"/>
      <c r="AA35" s="38">
        <v>44.75</v>
      </c>
    </row>
    <row r="36" spans="1:27" ht="16.5">
      <c r="A36" s="42" t="s">
        <v>126</v>
      </c>
      <c r="B36" s="49"/>
      <c r="C36" s="39" t="s">
        <v>29</v>
      </c>
      <c r="D36" s="40"/>
      <c r="E36" s="40">
        <v>31.5</v>
      </c>
      <c r="F36" s="40"/>
      <c r="G36" s="40">
        <v>145.99</v>
      </c>
      <c r="H36" s="40"/>
      <c r="I36" s="41">
        <v>100</v>
      </c>
      <c r="J36" s="41"/>
      <c r="K36" s="40">
        <v>25</v>
      </c>
      <c r="L36" s="40"/>
      <c r="M36" s="38">
        <v>28</v>
      </c>
      <c r="N36" s="40"/>
      <c r="O36" s="40"/>
      <c r="P36" s="40"/>
      <c r="Q36" s="40"/>
      <c r="R36" s="40"/>
      <c r="S36" s="40"/>
      <c r="T36" s="40"/>
      <c r="U36" s="38">
        <v>28</v>
      </c>
      <c r="V36" s="38"/>
      <c r="W36" s="38">
        <v>50.68</v>
      </c>
      <c r="X36" s="38"/>
      <c r="Y36" s="38">
        <v>62.16</v>
      </c>
      <c r="Z36" s="38"/>
      <c r="AA36" s="38">
        <v>37.85</v>
      </c>
    </row>
    <row r="37" spans="1:27" ht="16.5">
      <c r="A37" s="34" t="s">
        <v>21</v>
      </c>
      <c r="B37" s="50"/>
      <c r="C37" s="36" t="s">
        <v>30</v>
      </c>
      <c r="D37" s="35"/>
      <c r="E37" s="35">
        <v>22</v>
      </c>
      <c r="F37" s="35"/>
      <c r="G37" s="35">
        <v>128.21</v>
      </c>
      <c r="H37" s="35"/>
      <c r="I37" s="41">
        <v>100</v>
      </c>
      <c r="J37" s="37"/>
      <c r="K37" s="35"/>
      <c r="L37" s="35"/>
      <c r="M37" s="35">
        <v>0</v>
      </c>
      <c r="N37" s="35"/>
      <c r="O37" s="35"/>
      <c r="P37" s="35"/>
      <c r="Q37" s="35"/>
      <c r="R37" s="35"/>
      <c r="S37" s="35"/>
      <c r="T37" s="35"/>
      <c r="U37" s="38">
        <v>0</v>
      </c>
      <c r="V37" s="38"/>
      <c r="W37" s="38">
        <v>22</v>
      </c>
      <c r="X37" s="38"/>
      <c r="Y37" s="38">
        <v>100</v>
      </c>
      <c r="Z37" s="38"/>
      <c r="AA37" s="38">
        <v>0</v>
      </c>
    </row>
    <row r="38" spans="1:27" ht="16.5">
      <c r="A38" s="42" t="s">
        <v>42</v>
      </c>
      <c r="B38" s="49"/>
      <c r="C38" s="39" t="s">
        <v>4</v>
      </c>
      <c r="D38" s="40"/>
      <c r="E38" s="40">
        <v>17</v>
      </c>
      <c r="F38" s="40"/>
      <c r="G38" s="40">
        <v>120.48</v>
      </c>
      <c r="H38" s="40"/>
      <c r="I38" s="41">
        <v>100</v>
      </c>
      <c r="J38" s="41"/>
      <c r="K38" s="40">
        <v>25</v>
      </c>
      <c r="L38" s="40"/>
      <c r="M38" s="38">
        <v>25</v>
      </c>
      <c r="N38" s="40"/>
      <c r="O38" s="40"/>
      <c r="P38" s="40"/>
      <c r="Q38" s="40"/>
      <c r="R38" s="40"/>
      <c r="S38" s="40"/>
      <c r="T38" s="40"/>
      <c r="U38" s="38">
        <v>25</v>
      </c>
      <c r="V38" s="38"/>
      <c r="W38" s="38">
        <v>37.75</v>
      </c>
      <c r="X38" s="38"/>
      <c r="Y38" s="38">
        <v>45.03</v>
      </c>
      <c r="Z38" s="38"/>
      <c r="AA38" s="38">
        <v>54.97</v>
      </c>
    </row>
    <row r="39" spans="1:27" ht="16.5">
      <c r="A39" s="42" t="s">
        <v>127</v>
      </c>
      <c r="B39" s="49"/>
      <c r="C39" s="39" t="s">
        <v>29</v>
      </c>
      <c r="D39" s="40"/>
      <c r="E39" s="40">
        <v>28</v>
      </c>
      <c r="F39" s="40"/>
      <c r="G39" s="40">
        <v>138.89</v>
      </c>
      <c r="H39" s="40"/>
      <c r="I39" s="41">
        <v>100</v>
      </c>
      <c r="J39" s="41"/>
      <c r="K39" s="40"/>
      <c r="L39" s="40"/>
      <c r="M39" s="38">
        <v>24</v>
      </c>
      <c r="N39" s="40"/>
      <c r="O39" s="40"/>
      <c r="P39" s="40"/>
      <c r="Q39" s="40"/>
      <c r="R39" s="40"/>
      <c r="S39" s="40"/>
      <c r="T39" s="40"/>
      <c r="U39" s="38">
        <v>24</v>
      </c>
      <c r="V39" s="38"/>
      <c r="W39" s="38">
        <v>45.28</v>
      </c>
      <c r="X39" s="38"/>
      <c r="Y39" s="38">
        <v>61.84</v>
      </c>
      <c r="Z39" s="38"/>
      <c r="AA39" s="38">
        <v>38.16</v>
      </c>
    </row>
    <row r="40" spans="1:27" ht="16.5">
      <c r="A40" s="42" t="s">
        <v>23</v>
      </c>
      <c r="B40" s="49"/>
      <c r="C40" s="39" t="s">
        <v>4</v>
      </c>
      <c r="D40" s="40"/>
      <c r="E40" s="40">
        <v>22</v>
      </c>
      <c r="F40" s="40"/>
      <c r="G40" s="40">
        <v>128.21</v>
      </c>
      <c r="H40" s="40"/>
      <c r="I40" s="41">
        <v>100</v>
      </c>
      <c r="J40" s="41"/>
      <c r="K40" s="40"/>
      <c r="L40" s="40"/>
      <c r="M40" s="38">
        <v>30</v>
      </c>
      <c r="N40" s="40"/>
      <c r="O40" s="40"/>
      <c r="P40" s="40"/>
      <c r="Q40" s="40"/>
      <c r="R40" s="40"/>
      <c r="S40" s="40"/>
      <c r="T40" s="40"/>
      <c r="U40" s="38">
        <v>30</v>
      </c>
      <c r="V40" s="38"/>
      <c r="W40" s="38">
        <v>45.4</v>
      </c>
      <c r="X40" s="38"/>
      <c r="Y40" s="38">
        <v>48.46</v>
      </c>
      <c r="Z40" s="38"/>
      <c r="AA40" s="38">
        <v>51.54</v>
      </c>
    </row>
    <row r="41" spans="1:27" ht="16.5">
      <c r="A41" s="42" t="s">
        <v>128</v>
      </c>
      <c r="B41" s="49"/>
      <c r="C41" s="39" t="s">
        <v>29</v>
      </c>
      <c r="D41" s="40"/>
      <c r="E41" s="40">
        <v>21.15</v>
      </c>
      <c r="F41" s="40"/>
      <c r="G41" s="40">
        <v>126.82</v>
      </c>
      <c r="H41" s="40"/>
      <c r="I41" s="41">
        <v>100</v>
      </c>
      <c r="J41" s="41"/>
      <c r="K41" s="40"/>
      <c r="L41" s="40"/>
      <c r="M41" s="38">
        <v>21.14</v>
      </c>
      <c r="N41" s="40"/>
      <c r="O41" s="40"/>
      <c r="P41" s="40"/>
      <c r="Q41" s="40"/>
      <c r="R41" s="40"/>
      <c r="S41" s="40"/>
      <c r="T41" s="40"/>
      <c r="U41" s="38">
        <v>21.14</v>
      </c>
      <c r="V41" s="38"/>
      <c r="W41" s="38">
        <v>37.81</v>
      </c>
      <c r="X41" s="38"/>
      <c r="Y41" s="38">
        <v>55.93</v>
      </c>
      <c r="Z41" s="38"/>
      <c r="AA41" s="38">
        <v>44.07</v>
      </c>
    </row>
    <row r="42" spans="1:27" ht="16.5">
      <c r="A42" s="42" t="s">
        <v>24</v>
      </c>
      <c r="B42" s="49"/>
      <c r="C42" s="39" t="s">
        <v>25</v>
      </c>
      <c r="D42" s="40"/>
      <c r="E42" s="40">
        <v>20</v>
      </c>
      <c r="F42" s="40"/>
      <c r="G42" s="40">
        <v>125</v>
      </c>
      <c r="H42" s="40"/>
      <c r="I42" s="41">
        <v>100</v>
      </c>
      <c r="J42" s="41"/>
      <c r="K42" s="40"/>
      <c r="L42" s="40"/>
      <c r="M42" s="38">
        <v>35</v>
      </c>
      <c r="N42" s="40"/>
      <c r="O42" s="40"/>
      <c r="P42" s="40"/>
      <c r="Q42" s="40"/>
      <c r="R42" s="40"/>
      <c r="S42" s="40"/>
      <c r="T42" s="40"/>
      <c r="U42" s="38">
        <v>17.5</v>
      </c>
      <c r="V42" s="38"/>
      <c r="W42" s="38">
        <v>34</v>
      </c>
      <c r="X42" s="38"/>
      <c r="Y42" s="38">
        <v>58.82</v>
      </c>
      <c r="Z42" s="38" t="e">
        <f>(H42-J42)/(H42-J42+L42+V42)*100</f>
        <v>#DIV/0!</v>
      </c>
      <c r="AA42" s="38">
        <v>41.18</v>
      </c>
    </row>
    <row r="43" spans="1:27" ht="16.5">
      <c r="A43" s="42" t="s">
        <v>129</v>
      </c>
      <c r="B43" s="49"/>
      <c r="C43" s="45" t="s">
        <v>6</v>
      </c>
      <c r="D43" s="46"/>
      <c r="E43" s="40">
        <v>21</v>
      </c>
      <c r="F43" s="40"/>
      <c r="G43" s="40">
        <v>126.58</v>
      </c>
      <c r="H43" s="40"/>
      <c r="I43" s="41">
        <v>100</v>
      </c>
      <c r="J43" s="41"/>
      <c r="K43" s="40"/>
      <c r="L43" s="40"/>
      <c r="M43" s="38">
        <v>37.5</v>
      </c>
      <c r="N43" s="40"/>
      <c r="O43" s="40">
        <v>111.11</v>
      </c>
      <c r="P43" s="40"/>
      <c r="Q43" s="40">
        <v>10</v>
      </c>
      <c r="R43" s="40"/>
      <c r="S43" s="40">
        <v>11.11</v>
      </c>
      <c r="T43" s="40"/>
      <c r="U43" s="38">
        <v>30.56</v>
      </c>
      <c r="V43" s="38"/>
      <c r="W43" s="38">
        <v>45.14</v>
      </c>
      <c r="X43" s="38"/>
      <c r="Y43" s="38">
        <v>46.52</v>
      </c>
      <c r="Z43" s="38"/>
      <c r="AA43" s="38">
        <v>53.48</v>
      </c>
    </row>
    <row r="44" spans="1:27" ht="16.5">
      <c r="A44" s="42" t="s">
        <v>130</v>
      </c>
      <c r="B44" s="49"/>
      <c r="C44" s="39" t="s">
        <v>29</v>
      </c>
      <c r="D44" s="40"/>
      <c r="E44" s="40">
        <v>39.13</v>
      </c>
      <c r="F44" s="40"/>
      <c r="G44" s="40">
        <v>164.3</v>
      </c>
      <c r="H44" s="40"/>
      <c r="I44" s="41">
        <v>100</v>
      </c>
      <c r="J44" s="41"/>
      <c r="K44" s="40"/>
      <c r="L44" s="40"/>
      <c r="M44" s="38">
        <v>30.34</v>
      </c>
      <c r="N44" s="40"/>
      <c r="O44" s="40"/>
      <c r="P44" s="40"/>
      <c r="Q44" s="40"/>
      <c r="R44" s="40"/>
      <c r="S44" s="40"/>
      <c r="T44" s="40"/>
      <c r="U44" s="38">
        <v>30.34</v>
      </c>
      <c r="V44" s="38"/>
      <c r="W44" s="38">
        <v>57.6</v>
      </c>
      <c r="X44" s="38"/>
      <c r="Y44" s="38">
        <v>67.94</v>
      </c>
      <c r="Z44" s="38"/>
      <c r="AA44" s="38">
        <v>32.06</v>
      </c>
    </row>
    <row r="45" spans="1:27" ht="15.75" thickBot="1">
      <c r="A45" s="28"/>
      <c r="B45" s="28"/>
      <c r="C45" s="28"/>
      <c r="D45" s="28"/>
      <c r="E45" s="28"/>
      <c r="F45" s="28"/>
      <c r="G45" s="28"/>
      <c r="H45" s="28"/>
      <c r="I45" s="28"/>
      <c r="J45" s="28"/>
      <c r="K45" s="28"/>
      <c r="L45" s="28"/>
      <c r="M45" s="28"/>
      <c r="N45" s="28"/>
      <c r="O45" s="28"/>
      <c r="P45" s="28"/>
      <c r="Q45" s="28"/>
      <c r="R45" s="28"/>
      <c r="S45" s="28"/>
      <c r="T45" s="28"/>
      <c r="U45" s="29"/>
      <c r="V45" s="28"/>
      <c r="W45" s="28"/>
      <c r="X45" s="28"/>
      <c r="Y45" s="28"/>
      <c r="Z45" s="28"/>
      <c r="AA45" s="28"/>
    </row>
  </sheetData>
  <sheetProtection/>
  <mergeCells count="13">
    <mergeCell ref="AA5:AA8"/>
    <mergeCell ref="O5:O8"/>
    <mergeCell ref="Q5:Q8"/>
    <mergeCell ref="S5:S8"/>
    <mergeCell ref="U5:U8"/>
    <mergeCell ref="W5:W8"/>
    <mergeCell ref="Y5:Y8"/>
    <mergeCell ref="C5:C8"/>
    <mergeCell ref="E5:E8"/>
    <mergeCell ref="G5:G8"/>
    <mergeCell ref="I5:I8"/>
    <mergeCell ref="K5:K8"/>
    <mergeCell ref="M5:M8"/>
  </mergeCells>
  <printOptions horizontalCentered="1"/>
  <pageMargins left="0.25" right="0.25" top="1" bottom="1" header="0.3" footer="0.3"/>
  <pageSetup fitToWidth="0" fitToHeight="1" horizontalDpi="300" verticalDpi="300" orientation="portrait" paperSize="9" scale="42"/>
  <drawing r:id="rId1"/>
</worksheet>
</file>

<file path=xl/worksheets/sheet3.xml><?xml version="1.0" encoding="utf-8"?>
<worksheet xmlns="http://schemas.openxmlformats.org/spreadsheetml/2006/main" xmlns:r="http://schemas.openxmlformats.org/officeDocument/2006/relationships">
  <sheetPr>
    <pageSetUpPr fitToPage="1"/>
  </sheetPr>
  <dimension ref="A1:AA45"/>
  <sheetViews>
    <sheetView showGridLines="0" zoomScaleSheetLayoutView="85" zoomScalePageLayoutView="0" workbookViewId="0" topLeftCell="A31">
      <selection activeCell="Z42" sqref="Z42"/>
    </sheetView>
  </sheetViews>
  <sheetFormatPr defaultColWidth="9.140625" defaultRowHeight="12.75"/>
  <cols>
    <col min="1" max="1" width="16.2812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7.140625" style="2" customWidth="1"/>
    <col min="10" max="10" width="0.85546875" style="2" customWidth="1"/>
    <col min="11" max="11" width="7.710937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421875" style="2" customWidth="1"/>
    <col min="18" max="18" width="0.85546875" style="2" customWidth="1"/>
    <col min="19" max="19" width="12.421875" style="2" customWidth="1"/>
    <col min="20" max="20" width="0.85546875" style="2" customWidth="1"/>
    <col min="21" max="21" width="8.7109375" style="2" customWidth="1"/>
    <col min="22" max="22" width="0.85546875" style="2" customWidth="1"/>
    <col min="23" max="23" width="7.421875" style="2" customWidth="1"/>
    <col min="24" max="24" width="0.9921875" style="2" customWidth="1"/>
    <col min="25" max="25" width="7.7109375" style="2" customWidth="1"/>
    <col min="26" max="26" width="1.28515625" style="2" customWidth="1"/>
    <col min="27" max="27" width="7.8515625" style="2" customWidth="1"/>
    <col min="28" max="16384" width="9.140625" style="2" customWidth="1"/>
  </cols>
  <sheetData>
    <row r="1" spans="1:21" ht="15">
      <c r="A1" s="1">
        <v>42381</v>
      </c>
      <c r="C1" s="3"/>
      <c r="U1" s="4"/>
    </row>
    <row r="2" spans="1:27" ht="16.5">
      <c r="A2" s="5" t="s">
        <v>131</v>
      </c>
      <c r="B2" s="6"/>
      <c r="C2" s="6"/>
      <c r="D2" s="6"/>
      <c r="E2" s="6"/>
      <c r="F2" s="6"/>
      <c r="G2" s="6"/>
      <c r="H2" s="6"/>
      <c r="I2" s="6"/>
      <c r="J2" s="6"/>
      <c r="K2" s="6"/>
      <c r="L2" s="6"/>
      <c r="M2" s="6"/>
      <c r="N2" s="6"/>
      <c r="O2" s="6"/>
      <c r="P2" s="6"/>
      <c r="Q2" s="6"/>
      <c r="R2" s="6"/>
      <c r="S2" s="6"/>
      <c r="T2" s="6"/>
      <c r="U2" s="6"/>
      <c r="V2" s="6"/>
      <c r="W2" s="6"/>
      <c r="X2" s="6"/>
      <c r="Y2" s="6"/>
      <c r="Z2" s="6"/>
      <c r="AA2" s="6"/>
    </row>
    <row r="3" spans="1:27" ht="15.75" thickBot="1">
      <c r="A3" s="7"/>
      <c r="B3" s="7"/>
      <c r="C3" s="7"/>
      <c r="D3" s="7"/>
      <c r="E3" s="7"/>
      <c r="F3" s="7"/>
      <c r="G3" s="7"/>
      <c r="H3" s="7"/>
      <c r="I3" s="7"/>
      <c r="J3" s="7"/>
      <c r="K3" s="7"/>
      <c r="L3" s="7"/>
      <c r="M3" s="7"/>
      <c r="N3" s="7"/>
      <c r="O3" s="7"/>
      <c r="P3" s="7"/>
      <c r="Q3" s="7"/>
      <c r="R3" s="7"/>
      <c r="S3" s="7"/>
      <c r="T3" s="7"/>
      <c r="U3" s="7"/>
      <c r="V3" s="7"/>
      <c r="W3" s="7"/>
      <c r="X3" s="7"/>
      <c r="Y3" s="7"/>
      <c r="Z3" s="7"/>
      <c r="AA3" s="7"/>
    </row>
    <row r="4" ht="15">
      <c r="U4" s="4"/>
    </row>
    <row r="5" spans="1:27" ht="15">
      <c r="A5" s="9"/>
      <c r="B5" s="9"/>
      <c r="C5" s="51" t="s">
        <v>0</v>
      </c>
      <c r="D5" s="10"/>
      <c r="E5" s="51" t="s">
        <v>46</v>
      </c>
      <c r="F5" s="11"/>
      <c r="G5" s="51" t="s">
        <v>47</v>
      </c>
      <c r="H5" s="11"/>
      <c r="I5" s="51" t="s">
        <v>48</v>
      </c>
      <c r="J5" s="10"/>
      <c r="K5" s="51" t="s">
        <v>78</v>
      </c>
      <c r="L5" s="11"/>
      <c r="M5" s="51" t="s">
        <v>50</v>
      </c>
      <c r="N5" s="10"/>
      <c r="O5" s="51" t="s">
        <v>51</v>
      </c>
      <c r="P5" s="11"/>
      <c r="Q5" s="51" t="s">
        <v>52</v>
      </c>
      <c r="R5" s="11"/>
      <c r="S5" s="51" t="s">
        <v>53</v>
      </c>
      <c r="T5" s="11"/>
      <c r="U5" s="51" t="s">
        <v>54</v>
      </c>
      <c r="V5" s="10"/>
      <c r="W5" s="51" t="s">
        <v>55</v>
      </c>
      <c r="X5" s="12"/>
      <c r="Y5" s="51" t="s">
        <v>56</v>
      </c>
      <c r="Z5" s="12"/>
      <c r="AA5" s="51" t="s">
        <v>57</v>
      </c>
    </row>
    <row r="6" spans="1:27" ht="15">
      <c r="A6" s="12"/>
      <c r="B6" s="9"/>
      <c r="C6" s="52"/>
      <c r="D6" s="10"/>
      <c r="E6" s="52"/>
      <c r="F6" s="11"/>
      <c r="G6" s="52"/>
      <c r="H6" s="11"/>
      <c r="I6" s="52"/>
      <c r="J6" s="10"/>
      <c r="K6" s="52"/>
      <c r="L6" s="11"/>
      <c r="M6" s="52"/>
      <c r="N6" s="13"/>
      <c r="O6" s="52"/>
      <c r="P6" s="11"/>
      <c r="Q6" s="52"/>
      <c r="R6" s="11"/>
      <c r="S6" s="52"/>
      <c r="T6" s="11"/>
      <c r="U6" s="52"/>
      <c r="V6" s="10"/>
      <c r="W6" s="52"/>
      <c r="X6" s="12"/>
      <c r="Y6" s="52"/>
      <c r="Z6" s="12"/>
      <c r="AA6" s="52"/>
    </row>
    <row r="7" spans="1:27" ht="15">
      <c r="A7" s="14"/>
      <c r="B7" s="9"/>
      <c r="C7" s="52"/>
      <c r="D7" s="10"/>
      <c r="E7" s="52"/>
      <c r="F7" s="11"/>
      <c r="G7" s="52"/>
      <c r="H7" s="11"/>
      <c r="I7" s="52"/>
      <c r="J7" s="10"/>
      <c r="K7" s="52"/>
      <c r="L7" s="11"/>
      <c r="M7" s="52"/>
      <c r="N7" s="13"/>
      <c r="O7" s="52"/>
      <c r="P7" s="11"/>
      <c r="Q7" s="52"/>
      <c r="R7" s="11"/>
      <c r="S7" s="52"/>
      <c r="T7" s="11"/>
      <c r="U7" s="52"/>
      <c r="V7" s="10"/>
      <c r="W7" s="52"/>
      <c r="X7" s="12"/>
      <c r="Y7" s="52"/>
      <c r="Z7" s="12"/>
      <c r="AA7" s="52"/>
    </row>
    <row r="8" spans="1:27" ht="15">
      <c r="A8" s="14" t="s">
        <v>1</v>
      </c>
      <c r="B8" s="9"/>
      <c r="C8" s="52"/>
      <c r="D8" s="10"/>
      <c r="E8" s="52"/>
      <c r="F8" s="11"/>
      <c r="G8" s="52"/>
      <c r="H8" s="11"/>
      <c r="I8" s="52"/>
      <c r="J8" s="10"/>
      <c r="K8" s="52"/>
      <c r="L8" s="11"/>
      <c r="M8" s="52"/>
      <c r="N8" s="13"/>
      <c r="O8" s="52"/>
      <c r="P8" s="11"/>
      <c r="Q8" s="52"/>
      <c r="R8" s="11"/>
      <c r="S8" s="52"/>
      <c r="T8" s="11"/>
      <c r="U8" s="52"/>
      <c r="V8" s="10"/>
      <c r="W8" s="52"/>
      <c r="X8" s="12"/>
      <c r="Y8" s="52"/>
      <c r="Z8" s="12"/>
      <c r="AA8" s="52"/>
    </row>
    <row r="9" spans="1:27" ht="15">
      <c r="A9" s="15"/>
      <c r="B9" s="15"/>
      <c r="C9" s="16"/>
      <c r="D9" s="17"/>
      <c r="E9" s="16"/>
      <c r="F9" s="18"/>
      <c r="G9" s="16"/>
      <c r="H9" s="18"/>
      <c r="I9" s="16"/>
      <c r="J9" s="17"/>
      <c r="K9" s="16"/>
      <c r="L9" s="18"/>
      <c r="M9" s="16"/>
      <c r="N9" s="16"/>
      <c r="O9" s="18"/>
      <c r="P9" s="18"/>
      <c r="Q9" s="18"/>
      <c r="R9" s="18"/>
      <c r="S9" s="18"/>
      <c r="T9" s="18"/>
      <c r="U9" s="15"/>
      <c r="V9" s="17"/>
      <c r="W9" s="16"/>
      <c r="X9" s="16"/>
      <c r="Y9" s="16"/>
      <c r="Z9" s="16"/>
      <c r="AA9" s="16"/>
    </row>
    <row r="10" ht="15">
      <c r="U10" s="4"/>
    </row>
    <row r="11" spans="1:27" ht="16.5">
      <c r="A11" s="34" t="s">
        <v>58</v>
      </c>
      <c r="B11" s="35"/>
      <c r="C11" s="36" t="s">
        <v>2</v>
      </c>
      <c r="D11" s="35"/>
      <c r="E11" s="35">
        <v>30</v>
      </c>
      <c r="F11" s="35"/>
      <c r="G11" s="35">
        <v>142.86</v>
      </c>
      <c r="H11" s="35"/>
      <c r="I11" s="37">
        <v>100</v>
      </c>
      <c r="J11" s="37"/>
      <c r="K11" s="35"/>
      <c r="L11" s="35"/>
      <c r="M11" s="35">
        <v>49</v>
      </c>
      <c r="N11" s="35"/>
      <c r="O11" s="35">
        <v>142.9</v>
      </c>
      <c r="P11" s="35"/>
      <c r="Q11" s="35">
        <v>30</v>
      </c>
      <c r="R11" s="35"/>
      <c r="S11" s="35">
        <v>42.9</v>
      </c>
      <c r="T11" s="35"/>
      <c r="U11" s="35">
        <v>27.12</v>
      </c>
      <c r="V11" s="35"/>
      <c r="W11" s="38">
        <v>48.99</v>
      </c>
      <c r="X11" s="35"/>
      <c r="Y11" s="35">
        <v>61.24</v>
      </c>
      <c r="Z11" s="35"/>
      <c r="AA11" s="35">
        <v>38.76</v>
      </c>
    </row>
    <row r="12" spans="1:27" ht="15">
      <c r="A12" s="12" t="s">
        <v>3</v>
      </c>
      <c r="C12" s="39" t="s">
        <v>4</v>
      </c>
      <c r="D12" s="40"/>
      <c r="E12" s="40">
        <v>25</v>
      </c>
      <c r="F12" s="40"/>
      <c r="G12" s="40">
        <v>133.33</v>
      </c>
      <c r="H12" s="40"/>
      <c r="I12" s="41">
        <v>100</v>
      </c>
      <c r="J12" s="41"/>
      <c r="K12" s="40">
        <v>25</v>
      </c>
      <c r="L12" s="40"/>
      <c r="M12" s="38">
        <v>25</v>
      </c>
      <c r="N12" s="40"/>
      <c r="O12" s="40"/>
      <c r="P12" s="40"/>
      <c r="Q12" s="40"/>
      <c r="R12" s="40"/>
      <c r="S12" s="40"/>
      <c r="T12" s="40"/>
      <c r="U12" s="38">
        <v>25</v>
      </c>
      <c r="V12" s="38"/>
      <c r="W12" s="38">
        <v>43.75</v>
      </c>
      <c r="X12" s="38"/>
      <c r="Y12" s="38">
        <v>57.14</v>
      </c>
      <c r="Z12" s="38"/>
      <c r="AA12" s="38">
        <v>42.86</v>
      </c>
    </row>
    <row r="13" spans="1:27" ht="16.5">
      <c r="A13" s="12" t="s">
        <v>59</v>
      </c>
      <c r="B13" s="48"/>
      <c r="C13" s="39" t="s">
        <v>4</v>
      </c>
      <c r="D13" s="40"/>
      <c r="E13" s="40">
        <v>33.99</v>
      </c>
      <c r="F13" s="40"/>
      <c r="G13" s="40">
        <v>151.49</v>
      </c>
      <c r="H13" s="40"/>
      <c r="I13" s="41">
        <v>100</v>
      </c>
      <c r="J13" s="41"/>
      <c r="K13" s="40"/>
      <c r="L13" s="40"/>
      <c r="M13" s="38">
        <v>25</v>
      </c>
      <c r="N13" s="40"/>
      <c r="O13" s="40"/>
      <c r="P13" s="40"/>
      <c r="Q13" s="40"/>
      <c r="R13" s="40"/>
      <c r="S13" s="40"/>
      <c r="T13" s="40"/>
      <c r="U13" s="38">
        <v>25</v>
      </c>
      <c r="V13" s="38"/>
      <c r="W13" s="38">
        <v>50.49</v>
      </c>
      <c r="X13" s="38"/>
      <c r="Y13" s="38">
        <v>67.32</v>
      </c>
      <c r="Z13" s="38"/>
      <c r="AA13" s="38">
        <v>32.68</v>
      </c>
    </row>
    <row r="14" spans="1:27" ht="16.5">
      <c r="A14" s="42" t="s">
        <v>87</v>
      </c>
      <c r="B14" s="49"/>
      <c r="C14" s="39" t="s">
        <v>2</v>
      </c>
      <c r="D14" s="40"/>
      <c r="E14" s="40">
        <v>26.3</v>
      </c>
      <c r="F14" s="40"/>
      <c r="G14" s="40">
        <v>135.69</v>
      </c>
      <c r="H14" s="40"/>
      <c r="I14" s="41">
        <v>100</v>
      </c>
      <c r="J14" s="41"/>
      <c r="K14" s="40"/>
      <c r="L14" s="40"/>
      <c r="M14" s="38">
        <v>49.53</v>
      </c>
      <c r="N14" s="40"/>
      <c r="O14" s="40">
        <v>138</v>
      </c>
      <c r="P14" s="40"/>
      <c r="Q14" s="40">
        <v>25</v>
      </c>
      <c r="R14" s="40"/>
      <c r="S14" s="40">
        <v>34.51</v>
      </c>
      <c r="T14" s="40"/>
      <c r="U14" s="38">
        <v>33.85</v>
      </c>
      <c r="V14" s="38"/>
      <c r="W14" s="38">
        <v>51.25</v>
      </c>
      <c r="X14" s="38"/>
      <c r="Y14" s="38">
        <v>51.32</v>
      </c>
      <c r="Z14" s="38"/>
      <c r="AA14" s="38">
        <v>48.68</v>
      </c>
    </row>
    <row r="15" spans="1:27" ht="16.5">
      <c r="A15" s="12" t="s">
        <v>41</v>
      </c>
      <c r="B15" s="49"/>
      <c r="C15" s="39" t="s">
        <v>2</v>
      </c>
      <c r="D15" s="40"/>
      <c r="E15" s="40">
        <v>21</v>
      </c>
      <c r="F15" s="40"/>
      <c r="G15" s="40">
        <v>126.58</v>
      </c>
      <c r="H15" s="40"/>
      <c r="I15" s="41">
        <v>100</v>
      </c>
      <c r="J15" s="41"/>
      <c r="K15" s="40"/>
      <c r="L15" s="40"/>
      <c r="M15" s="38">
        <v>40</v>
      </c>
      <c r="N15" s="40"/>
      <c r="O15" s="40">
        <v>126.58</v>
      </c>
      <c r="P15" s="40"/>
      <c r="Q15" s="40">
        <v>21</v>
      </c>
      <c r="R15" s="40"/>
      <c r="S15" s="40">
        <v>26.58</v>
      </c>
      <c r="T15" s="40" t="s">
        <v>40</v>
      </c>
      <c r="U15" s="38">
        <v>24.05</v>
      </c>
      <c r="V15" s="38"/>
      <c r="W15" s="38">
        <v>40</v>
      </c>
      <c r="X15" s="38"/>
      <c r="Y15" s="38">
        <v>52.5</v>
      </c>
      <c r="Z15" s="38"/>
      <c r="AA15" s="38">
        <v>47.5</v>
      </c>
    </row>
    <row r="16" spans="1:27" ht="16.5">
      <c r="A16" s="42" t="s">
        <v>7</v>
      </c>
      <c r="B16" s="49"/>
      <c r="C16" s="39" t="s">
        <v>4</v>
      </c>
      <c r="D16" s="40"/>
      <c r="E16" s="40">
        <v>19</v>
      </c>
      <c r="F16" s="40"/>
      <c r="G16" s="40">
        <v>123.46</v>
      </c>
      <c r="H16" s="40"/>
      <c r="I16" s="41">
        <v>100</v>
      </c>
      <c r="J16" s="41"/>
      <c r="K16" s="40">
        <v>15</v>
      </c>
      <c r="L16" s="40"/>
      <c r="M16" s="38">
        <v>15</v>
      </c>
      <c r="N16" s="40"/>
      <c r="O16" s="40"/>
      <c r="P16" s="40"/>
      <c r="Q16" s="40"/>
      <c r="R16" s="40"/>
      <c r="S16" s="40"/>
      <c r="T16" s="40"/>
      <c r="U16" s="38">
        <v>15</v>
      </c>
      <c r="V16" s="38"/>
      <c r="W16" s="38">
        <v>31.15</v>
      </c>
      <c r="X16" s="38"/>
      <c r="Y16" s="38">
        <v>61</v>
      </c>
      <c r="Z16" s="38"/>
      <c r="AA16" s="38">
        <v>39.01</v>
      </c>
    </row>
    <row r="17" spans="1:27" ht="16.5">
      <c r="A17" s="42" t="s">
        <v>8</v>
      </c>
      <c r="B17" s="49"/>
      <c r="C17" s="39" t="s">
        <v>29</v>
      </c>
      <c r="D17" s="40"/>
      <c r="E17" s="40">
        <v>24.5</v>
      </c>
      <c r="F17" s="40"/>
      <c r="G17" s="40">
        <v>132.45</v>
      </c>
      <c r="H17" s="40"/>
      <c r="I17" s="41">
        <v>100</v>
      </c>
      <c r="J17" s="41"/>
      <c r="K17" s="40"/>
      <c r="L17" s="40"/>
      <c r="M17" s="38">
        <v>42</v>
      </c>
      <c r="N17" s="40"/>
      <c r="O17" s="40"/>
      <c r="P17" s="40"/>
      <c r="Q17" s="40"/>
      <c r="R17" s="40"/>
      <c r="S17" s="40"/>
      <c r="T17" s="40"/>
      <c r="U17" s="38">
        <v>42</v>
      </c>
      <c r="V17" s="38"/>
      <c r="W17" s="38">
        <v>56.21</v>
      </c>
      <c r="X17" s="38"/>
      <c r="Y17" s="38">
        <v>43.59</v>
      </c>
      <c r="Z17" s="38" t="e">
        <f>+T17/(F17-H17+T17)*100</f>
        <v>#DIV/0!</v>
      </c>
      <c r="AA17" s="38">
        <v>56.41</v>
      </c>
    </row>
    <row r="18" spans="1:27" ht="16.5">
      <c r="A18" s="34" t="s">
        <v>44</v>
      </c>
      <c r="B18" s="50"/>
      <c r="C18" s="36" t="s">
        <v>30</v>
      </c>
      <c r="D18" s="35"/>
      <c r="E18" s="35">
        <v>21</v>
      </c>
      <c r="F18" s="35"/>
      <c r="G18" s="35">
        <v>126.58</v>
      </c>
      <c r="H18" s="35"/>
      <c r="I18" s="37">
        <v>100</v>
      </c>
      <c r="J18" s="37"/>
      <c r="K18" s="35"/>
      <c r="L18" s="35"/>
      <c r="M18" s="43">
        <v>0</v>
      </c>
      <c r="N18" s="35"/>
      <c r="O18" s="35"/>
      <c r="P18" s="35"/>
      <c r="Q18" s="35"/>
      <c r="R18" s="35"/>
      <c r="S18" s="35"/>
      <c r="T18" s="35"/>
      <c r="U18" s="43">
        <v>0</v>
      </c>
      <c r="V18" s="43"/>
      <c r="W18" s="43">
        <v>21</v>
      </c>
      <c r="X18" s="43"/>
      <c r="Y18" s="44">
        <v>100</v>
      </c>
      <c r="Z18" s="43"/>
      <c r="AA18" s="43">
        <v>0</v>
      </c>
    </row>
    <row r="19" spans="1:27" ht="16.5">
      <c r="A19" s="12" t="s">
        <v>88</v>
      </c>
      <c r="B19" s="49"/>
      <c r="C19" s="39" t="s">
        <v>25</v>
      </c>
      <c r="D19" s="40"/>
      <c r="E19" s="40">
        <v>20</v>
      </c>
      <c r="F19" s="40"/>
      <c r="G19" s="40">
        <v>125</v>
      </c>
      <c r="H19" s="40"/>
      <c r="I19" s="41">
        <v>100</v>
      </c>
      <c r="J19" s="41"/>
      <c r="K19" s="40"/>
      <c r="L19" s="40"/>
      <c r="M19" s="38">
        <v>32</v>
      </c>
      <c r="N19" s="40"/>
      <c r="O19" s="40"/>
      <c r="P19" s="40"/>
      <c r="Q19" s="40"/>
      <c r="R19" s="40"/>
      <c r="S19" s="40"/>
      <c r="T19" s="40"/>
      <c r="U19" s="38">
        <v>27.2</v>
      </c>
      <c r="V19" s="38"/>
      <c r="W19" s="38">
        <v>41.76</v>
      </c>
      <c r="X19" s="38"/>
      <c r="Y19" s="38">
        <v>47.89</v>
      </c>
      <c r="Z19" s="38"/>
      <c r="AA19" s="38">
        <v>52.11</v>
      </c>
    </row>
    <row r="20" spans="1:27" ht="16.5">
      <c r="A20" s="42" t="s">
        <v>89</v>
      </c>
      <c r="B20" s="49"/>
      <c r="C20" s="39" t="s">
        <v>25</v>
      </c>
      <c r="D20" s="40"/>
      <c r="E20" s="40">
        <v>36.4</v>
      </c>
      <c r="F20" s="40"/>
      <c r="G20" s="40">
        <v>157.23</v>
      </c>
      <c r="H20" s="40"/>
      <c r="I20" s="41">
        <v>100</v>
      </c>
      <c r="J20" s="41"/>
      <c r="K20" s="40"/>
      <c r="L20" s="40"/>
      <c r="M20" s="38">
        <v>44</v>
      </c>
      <c r="N20" s="40"/>
      <c r="O20" s="40"/>
      <c r="P20" s="40"/>
      <c r="Q20" s="40"/>
      <c r="R20" s="40"/>
      <c r="S20" s="40"/>
      <c r="T20" s="40"/>
      <c r="U20" s="38">
        <v>44</v>
      </c>
      <c r="V20" s="38"/>
      <c r="W20" s="38">
        <v>64.38</v>
      </c>
      <c r="X20" s="38"/>
      <c r="Y20" s="38">
        <v>56.53</v>
      </c>
      <c r="Z20" s="38"/>
      <c r="AA20" s="38">
        <v>43.47</v>
      </c>
    </row>
    <row r="21" spans="1:27" ht="16.5">
      <c r="A21" s="12" t="s">
        <v>9</v>
      </c>
      <c r="B21" s="49"/>
      <c r="C21" s="39" t="s">
        <v>4</v>
      </c>
      <c r="D21" s="40"/>
      <c r="E21" s="40">
        <v>30.18</v>
      </c>
      <c r="F21" s="40"/>
      <c r="G21" s="40">
        <v>143.22</v>
      </c>
      <c r="H21" s="40"/>
      <c r="I21" s="41">
        <v>100</v>
      </c>
      <c r="J21" s="41"/>
      <c r="K21" s="40">
        <v>26.38</v>
      </c>
      <c r="L21" s="40"/>
      <c r="M21" s="38">
        <v>26.38</v>
      </c>
      <c r="N21" s="40"/>
      <c r="O21" s="40"/>
      <c r="P21" s="40"/>
      <c r="Q21" s="40"/>
      <c r="R21" s="40"/>
      <c r="S21" s="40"/>
      <c r="T21" s="40"/>
      <c r="U21" s="38">
        <v>26.38</v>
      </c>
      <c r="V21" s="38"/>
      <c r="W21" s="38">
        <v>48.59</v>
      </c>
      <c r="X21" s="38"/>
      <c r="Y21" s="38">
        <v>62.1</v>
      </c>
      <c r="Z21" s="38"/>
      <c r="AA21" s="38">
        <v>37.9</v>
      </c>
    </row>
    <row r="22" spans="1:27" ht="16.5">
      <c r="A22" s="34" t="s">
        <v>119</v>
      </c>
      <c r="B22" s="50"/>
      <c r="C22" s="36" t="s">
        <v>4</v>
      </c>
      <c r="D22" s="35"/>
      <c r="E22" s="35">
        <v>26</v>
      </c>
      <c r="F22" s="35"/>
      <c r="G22" s="35">
        <v>135.14</v>
      </c>
      <c r="H22" s="35"/>
      <c r="I22" s="37">
        <v>100</v>
      </c>
      <c r="J22" s="37"/>
      <c r="K22" s="35">
        <v>10</v>
      </c>
      <c r="L22" s="35"/>
      <c r="M22" s="35">
        <v>10</v>
      </c>
      <c r="N22" s="35"/>
      <c r="O22" s="35"/>
      <c r="P22" s="35"/>
      <c r="Q22" s="35"/>
      <c r="R22" s="35"/>
      <c r="S22" s="35"/>
      <c r="T22" s="35"/>
      <c r="U22" s="35">
        <v>10</v>
      </c>
      <c r="V22" s="35"/>
      <c r="W22" s="35">
        <v>33.4</v>
      </c>
      <c r="X22" s="35"/>
      <c r="Y22" s="35">
        <v>77.84</v>
      </c>
      <c r="Z22" s="35"/>
      <c r="AA22" s="35">
        <v>22.16</v>
      </c>
    </row>
    <row r="23" spans="1:27" ht="16.5">
      <c r="A23" s="12" t="s">
        <v>37</v>
      </c>
      <c r="B23" s="48"/>
      <c r="C23" s="39" t="s">
        <v>27</v>
      </c>
      <c r="D23" s="40"/>
      <c r="E23" s="40">
        <v>19</v>
      </c>
      <c r="F23" s="40"/>
      <c r="G23" s="40">
        <v>123.46</v>
      </c>
      <c r="H23" s="40"/>
      <c r="I23" s="41">
        <v>100</v>
      </c>
      <c r="J23" s="41"/>
      <c r="K23" s="40"/>
      <c r="L23" s="40"/>
      <c r="M23" s="38">
        <v>16</v>
      </c>
      <c r="N23" s="40"/>
      <c r="O23" s="40"/>
      <c r="P23" s="40"/>
      <c r="Q23" s="40"/>
      <c r="R23" s="40"/>
      <c r="S23" s="40"/>
      <c r="T23" s="40"/>
      <c r="U23" s="38">
        <v>16</v>
      </c>
      <c r="V23" s="38"/>
      <c r="W23" s="38">
        <v>31.96</v>
      </c>
      <c r="X23" s="38"/>
      <c r="Y23" s="38">
        <v>59.45</v>
      </c>
      <c r="Z23" s="38"/>
      <c r="AA23" s="38">
        <v>40.55</v>
      </c>
    </row>
    <row r="24" spans="1:27" ht="16.5">
      <c r="A24" s="34" t="s">
        <v>120</v>
      </c>
      <c r="B24" s="50"/>
      <c r="C24" s="36" t="s">
        <v>4</v>
      </c>
      <c r="D24" s="35"/>
      <c r="E24" s="35">
        <v>20</v>
      </c>
      <c r="F24" s="35"/>
      <c r="G24" s="35">
        <v>125</v>
      </c>
      <c r="H24" s="35"/>
      <c r="I24" s="37">
        <v>100</v>
      </c>
      <c r="J24" s="37"/>
      <c r="K24" s="35"/>
      <c r="L24" s="35"/>
      <c r="M24" s="35">
        <v>20</v>
      </c>
      <c r="N24" s="35"/>
      <c r="O24" s="35"/>
      <c r="P24" s="35"/>
      <c r="Q24" s="35"/>
      <c r="R24" s="35"/>
      <c r="S24" s="35"/>
      <c r="T24" s="35"/>
      <c r="U24" s="35">
        <v>20</v>
      </c>
      <c r="V24" s="35"/>
      <c r="W24" s="35">
        <v>36</v>
      </c>
      <c r="X24" s="35"/>
      <c r="Y24" s="35">
        <v>55.56</v>
      </c>
      <c r="Z24" s="35"/>
      <c r="AA24" s="35">
        <v>44.44</v>
      </c>
    </row>
    <row r="25" spans="1:27" ht="16.5">
      <c r="A25" s="42" t="s">
        <v>12</v>
      </c>
      <c r="B25" s="49"/>
      <c r="C25" s="39" t="s">
        <v>4</v>
      </c>
      <c r="D25" s="40"/>
      <c r="E25" s="40">
        <v>12.5</v>
      </c>
      <c r="F25" s="40"/>
      <c r="G25" s="40">
        <v>114.29</v>
      </c>
      <c r="H25" s="40"/>
      <c r="I25" s="41">
        <v>100</v>
      </c>
      <c r="J25" s="41"/>
      <c r="K25" s="40"/>
      <c r="L25" s="40"/>
      <c r="M25" s="38">
        <v>51</v>
      </c>
      <c r="N25" s="40"/>
      <c r="O25" s="40"/>
      <c r="P25" s="40"/>
      <c r="Q25" s="40"/>
      <c r="R25" s="40"/>
      <c r="S25" s="40"/>
      <c r="T25" s="40"/>
      <c r="U25" s="38">
        <v>51</v>
      </c>
      <c r="V25" s="38"/>
      <c r="W25" s="38">
        <v>57.13</v>
      </c>
      <c r="X25" s="38"/>
      <c r="Y25" s="38">
        <v>21.88</v>
      </c>
      <c r="Z25" s="38"/>
      <c r="AA25" s="38">
        <v>78.12</v>
      </c>
    </row>
    <row r="26" spans="1:27" ht="16.5">
      <c r="A26" s="42" t="s">
        <v>43</v>
      </c>
      <c r="B26" s="49"/>
      <c r="C26" s="39" t="s">
        <v>29</v>
      </c>
      <c r="D26" s="40"/>
      <c r="E26" s="40">
        <v>26.5</v>
      </c>
      <c r="F26" s="40"/>
      <c r="G26" s="40">
        <v>136.05</v>
      </c>
      <c r="H26" s="40"/>
      <c r="I26" s="41">
        <v>100</v>
      </c>
      <c r="J26" s="41"/>
      <c r="K26" s="40"/>
      <c r="L26" s="40"/>
      <c r="M26" s="38">
        <v>30</v>
      </c>
      <c r="N26" s="40"/>
      <c r="O26" s="40"/>
      <c r="P26" s="40"/>
      <c r="Q26" s="40"/>
      <c r="R26" s="40"/>
      <c r="S26" s="40"/>
      <c r="T26" s="40"/>
      <c r="U26" s="38">
        <v>30</v>
      </c>
      <c r="V26" s="38"/>
      <c r="W26" s="38">
        <v>48.55</v>
      </c>
      <c r="X26" s="38"/>
      <c r="Y26" s="38">
        <v>54.58</v>
      </c>
      <c r="Z26" s="38"/>
      <c r="AA26" s="38">
        <v>45.42</v>
      </c>
    </row>
    <row r="27" spans="1:27" ht="16.5">
      <c r="A27" s="42" t="s">
        <v>121</v>
      </c>
      <c r="B27" s="49"/>
      <c r="C27" s="39" t="s">
        <v>38</v>
      </c>
      <c r="D27" s="40"/>
      <c r="E27" s="40">
        <v>27.5</v>
      </c>
      <c r="F27" s="40"/>
      <c r="G27" s="40">
        <v>137.93</v>
      </c>
      <c r="H27" s="40"/>
      <c r="I27" s="41">
        <v>100</v>
      </c>
      <c r="J27" s="41"/>
      <c r="K27" s="40">
        <v>20</v>
      </c>
      <c r="L27" s="40"/>
      <c r="M27" s="38">
        <v>20</v>
      </c>
      <c r="N27" s="40"/>
      <c r="O27" s="40"/>
      <c r="P27" s="40"/>
      <c r="Q27" s="40"/>
      <c r="R27" s="40"/>
      <c r="S27" s="40"/>
      <c r="T27" s="40"/>
      <c r="U27" s="38">
        <v>20</v>
      </c>
      <c r="V27" s="38"/>
      <c r="W27" s="38">
        <v>42</v>
      </c>
      <c r="X27" s="38"/>
      <c r="Y27" s="38">
        <v>65.48</v>
      </c>
      <c r="Z27" s="38"/>
      <c r="AA27" s="38">
        <v>34.52</v>
      </c>
    </row>
    <row r="28" spans="1:27" s="47" customFormat="1" ht="13.5" customHeight="1">
      <c r="A28" s="42" t="s">
        <v>122</v>
      </c>
      <c r="B28" s="49"/>
      <c r="C28" s="39" t="s">
        <v>29</v>
      </c>
      <c r="D28" s="40"/>
      <c r="E28" s="40">
        <v>36.99</v>
      </c>
      <c r="F28" s="40"/>
      <c r="G28" s="40">
        <v>158.71</v>
      </c>
      <c r="H28" s="40"/>
      <c r="I28" s="41">
        <v>100</v>
      </c>
      <c r="J28" s="41"/>
      <c r="K28" s="40">
        <v>20.32</v>
      </c>
      <c r="L28" s="40"/>
      <c r="M28" s="38">
        <v>20.32</v>
      </c>
      <c r="N28" s="40"/>
      <c r="O28" s="40"/>
      <c r="P28" s="40"/>
      <c r="Q28" s="40"/>
      <c r="R28" s="40"/>
      <c r="S28" s="40"/>
      <c r="T28" s="40"/>
      <c r="U28" s="38">
        <v>20.32</v>
      </c>
      <c r="V28" s="38"/>
      <c r="W28" s="38">
        <v>49.79</v>
      </c>
      <c r="X28" s="38"/>
      <c r="Y28" s="38">
        <v>74.29</v>
      </c>
      <c r="Z28" s="38"/>
      <c r="AA28" s="38">
        <v>25.71</v>
      </c>
    </row>
    <row r="29" spans="1:27" ht="16.5">
      <c r="A29" s="42" t="s">
        <v>15</v>
      </c>
      <c r="B29" s="49"/>
      <c r="C29" s="39" t="s">
        <v>6</v>
      </c>
      <c r="D29" s="40"/>
      <c r="E29" s="40">
        <v>24.2</v>
      </c>
      <c r="F29" s="40"/>
      <c r="G29" s="40">
        <v>131.93</v>
      </c>
      <c r="H29" s="40"/>
      <c r="I29" s="41">
        <v>100</v>
      </c>
      <c r="J29" s="41"/>
      <c r="K29" s="40"/>
      <c r="L29" s="40"/>
      <c r="M29" s="38">
        <v>41.8</v>
      </c>
      <c r="N29" s="40"/>
      <c r="O29" s="40">
        <v>111</v>
      </c>
      <c r="P29" s="40"/>
      <c r="Q29" s="40">
        <v>9.91</v>
      </c>
      <c r="R29" s="40"/>
      <c r="S29" s="40">
        <v>11</v>
      </c>
      <c r="T29" s="40"/>
      <c r="U29" s="38">
        <v>35.4</v>
      </c>
      <c r="V29" s="38"/>
      <c r="W29" s="38">
        <v>51.03</v>
      </c>
      <c r="X29" s="38"/>
      <c r="Y29" s="38">
        <v>47.42</v>
      </c>
      <c r="Z29" s="38"/>
      <c r="AA29" s="38">
        <v>52.58</v>
      </c>
    </row>
    <row r="30" spans="1:27" ht="16.5">
      <c r="A30" s="42" t="s">
        <v>16</v>
      </c>
      <c r="B30" s="49"/>
      <c r="C30" s="39" t="s">
        <v>25</v>
      </c>
      <c r="D30" s="40"/>
      <c r="E30" s="40">
        <v>29.22</v>
      </c>
      <c r="F30" s="40"/>
      <c r="G30" s="40">
        <v>141.28</v>
      </c>
      <c r="H30" s="40"/>
      <c r="I30" s="41">
        <v>100</v>
      </c>
      <c r="J30" s="41"/>
      <c r="K30" s="40"/>
      <c r="L30" s="40"/>
      <c r="M30" s="38">
        <v>40</v>
      </c>
      <c r="N30" s="40"/>
      <c r="O30" s="40"/>
      <c r="P30" s="40"/>
      <c r="Q30" s="40"/>
      <c r="R30" s="40"/>
      <c r="S30" s="40"/>
      <c r="T30" s="40"/>
      <c r="U30" s="38">
        <v>20</v>
      </c>
      <c r="V30" s="38"/>
      <c r="W30" s="38">
        <v>43.38</v>
      </c>
      <c r="X30" s="38"/>
      <c r="Y30" s="38">
        <v>67.36</v>
      </c>
      <c r="Z30" s="38"/>
      <c r="AA30" s="38">
        <v>32.64</v>
      </c>
    </row>
    <row r="31" spans="1:27" ht="16.5">
      <c r="A31" s="42" t="s">
        <v>35</v>
      </c>
      <c r="B31" s="49"/>
      <c r="C31" s="39" t="s">
        <v>2</v>
      </c>
      <c r="D31" s="40"/>
      <c r="E31" s="40">
        <v>30</v>
      </c>
      <c r="F31" s="40"/>
      <c r="G31" s="40">
        <v>142.86</v>
      </c>
      <c r="H31" s="40"/>
      <c r="I31" s="41">
        <v>100</v>
      </c>
      <c r="J31" s="41"/>
      <c r="K31" s="40">
        <v>10</v>
      </c>
      <c r="L31" s="40"/>
      <c r="M31" s="38">
        <v>42</v>
      </c>
      <c r="N31" s="40"/>
      <c r="O31" s="40">
        <v>142.86</v>
      </c>
      <c r="P31" s="40"/>
      <c r="Q31" s="40">
        <v>30</v>
      </c>
      <c r="R31" s="40"/>
      <c r="S31" s="40">
        <v>42.86</v>
      </c>
      <c r="T31" s="40"/>
      <c r="U31" s="38">
        <v>17.14</v>
      </c>
      <c r="V31" s="38"/>
      <c r="W31" s="38">
        <v>42</v>
      </c>
      <c r="X31" s="38"/>
      <c r="Y31" s="38">
        <v>71.43</v>
      </c>
      <c r="Z31" s="38"/>
      <c r="AA31" s="38">
        <v>28.57</v>
      </c>
    </row>
    <row r="32" spans="1:27" ht="16.5">
      <c r="A32" s="42" t="s">
        <v>123</v>
      </c>
      <c r="B32" s="49"/>
      <c r="C32" s="39" t="s">
        <v>4</v>
      </c>
      <c r="D32" s="40"/>
      <c r="E32" s="40">
        <v>25</v>
      </c>
      <c r="F32" s="40"/>
      <c r="G32" s="40">
        <v>133.33</v>
      </c>
      <c r="H32" s="40"/>
      <c r="I32" s="41">
        <v>100</v>
      </c>
      <c r="J32" s="41"/>
      <c r="K32" s="40"/>
      <c r="L32" s="40"/>
      <c r="M32" s="38">
        <v>25</v>
      </c>
      <c r="N32" s="40"/>
      <c r="O32" s="40"/>
      <c r="P32" s="40"/>
      <c r="Q32" s="40"/>
      <c r="R32" s="40"/>
      <c r="S32" s="40"/>
      <c r="T32" s="40"/>
      <c r="U32" s="38">
        <v>25</v>
      </c>
      <c r="V32" s="38"/>
      <c r="W32" s="38">
        <v>43.75</v>
      </c>
      <c r="X32" s="38"/>
      <c r="Y32" s="38">
        <v>57.14</v>
      </c>
      <c r="Z32" s="38"/>
      <c r="AA32" s="38">
        <v>42.86</v>
      </c>
    </row>
    <row r="33" spans="1:27" ht="16.5">
      <c r="A33" s="42" t="s">
        <v>124</v>
      </c>
      <c r="B33" s="49"/>
      <c r="C33" s="39" t="s">
        <v>2</v>
      </c>
      <c r="D33" s="40"/>
      <c r="E33" s="40">
        <v>28</v>
      </c>
      <c r="F33" s="40"/>
      <c r="G33" s="40">
        <v>138.89</v>
      </c>
      <c r="H33" s="40"/>
      <c r="I33" s="41">
        <v>100</v>
      </c>
      <c r="J33" s="41"/>
      <c r="K33" s="40"/>
      <c r="L33" s="40"/>
      <c r="M33" s="38">
        <v>33</v>
      </c>
      <c r="N33" s="40"/>
      <c r="O33" s="40">
        <v>138.89</v>
      </c>
      <c r="P33" s="40"/>
      <c r="Q33" s="40">
        <v>28</v>
      </c>
      <c r="R33" s="40"/>
      <c r="S33" s="40">
        <v>38.89</v>
      </c>
      <c r="T33" s="40"/>
      <c r="U33" s="38">
        <v>6.94</v>
      </c>
      <c r="V33" s="38"/>
      <c r="W33" s="38">
        <v>33</v>
      </c>
      <c r="X33" s="38"/>
      <c r="Y33" s="38">
        <v>84.85</v>
      </c>
      <c r="Z33" s="38"/>
      <c r="AA33" s="38">
        <v>15.15</v>
      </c>
    </row>
    <row r="34" spans="1:27" ht="16.5">
      <c r="A34" s="42" t="s">
        <v>125</v>
      </c>
      <c r="B34" s="49"/>
      <c r="C34" s="39" t="s">
        <v>27</v>
      </c>
      <c r="D34" s="40"/>
      <c r="E34" s="40">
        <v>27</v>
      </c>
      <c r="F34" s="40"/>
      <c r="G34" s="40">
        <v>136.99</v>
      </c>
      <c r="H34" s="40"/>
      <c r="I34" s="41">
        <v>100</v>
      </c>
      <c r="J34" s="41"/>
      <c r="K34" s="40"/>
      <c r="L34" s="40"/>
      <c r="M34" s="38">
        <v>27</v>
      </c>
      <c r="N34" s="40"/>
      <c r="O34" s="40"/>
      <c r="P34" s="40"/>
      <c r="Q34" s="40"/>
      <c r="R34" s="40"/>
      <c r="S34" s="40"/>
      <c r="T34" s="40"/>
      <c r="U34" s="38">
        <v>27</v>
      </c>
      <c r="V34" s="38"/>
      <c r="W34" s="38">
        <v>46.71</v>
      </c>
      <c r="X34" s="38"/>
      <c r="Y34" s="38">
        <v>57.8</v>
      </c>
      <c r="Z34" s="38"/>
      <c r="AA34" s="38">
        <v>42.2</v>
      </c>
    </row>
    <row r="35" spans="1:27" ht="16.5">
      <c r="A35" s="42" t="s">
        <v>36</v>
      </c>
      <c r="B35" s="49"/>
      <c r="C35" s="39" t="s">
        <v>29</v>
      </c>
      <c r="D35" s="40"/>
      <c r="E35" s="40">
        <v>19</v>
      </c>
      <c r="F35" s="40"/>
      <c r="G35" s="40">
        <v>123.46</v>
      </c>
      <c r="H35" s="40"/>
      <c r="I35" s="41">
        <v>100</v>
      </c>
      <c r="J35" s="41"/>
      <c r="K35" s="40">
        <v>19</v>
      </c>
      <c r="L35" s="40">
        <v>15</v>
      </c>
      <c r="M35" s="38">
        <v>19</v>
      </c>
      <c r="N35" s="40"/>
      <c r="O35" s="40"/>
      <c r="P35" s="40"/>
      <c r="Q35" s="40"/>
      <c r="R35" s="40"/>
      <c r="S35" s="40"/>
      <c r="T35" s="40"/>
      <c r="U35" s="38">
        <v>19</v>
      </c>
      <c r="V35" s="38"/>
      <c r="W35" s="38">
        <v>34.39</v>
      </c>
      <c r="X35" s="38"/>
      <c r="Y35" s="38">
        <v>55.25</v>
      </c>
      <c r="Z35" s="38"/>
      <c r="AA35" s="38">
        <v>44.75</v>
      </c>
    </row>
    <row r="36" spans="1:27" ht="16.5">
      <c r="A36" s="42" t="s">
        <v>126</v>
      </c>
      <c r="B36" s="49"/>
      <c r="C36" s="39" t="s">
        <v>29</v>
      </c>
      <c r="D36" s="40"/>
      <c r="E36" s="40">
        <v>31.5</v>
      </c>
      <c r="F36" s="40"/>
      <c r="G36" s="40">
        <v>145.99</v>
      </c>
      <c r="H36" s="40"/>
      <c r="I36" s="41">
        <v>100</v>
      </c>
      <c r="J36" s="41"/>
      <c r="K36" s="40">
        <v>28</v>
      </c>
      <c r="L36" s="40"/>
      <c r="M36" s="38">
        <v>28</v>
      </c>
      <c r="N36" s="40"/>
      <c r="O36" s="40"/>
      <c r="P36" s="40"/>
      <c r="Q36" s="40"/>
      <c r="R36" s="40"/>
      <c r="S36" s="40"/>
      <c r="T36" s="40"/>
      <c r="U36" s="38">
        <v>28</v>
      </c>
      <c r="V36" s="38"/>
      <c r="W36" s="38">
        <v>50.68</v>
      </c>
      <c r="X36" s="38"/>
      <c r="Y36" s="38">
        <v>62.16</v>
      </c>
      <c r="Z36" s="38"/>
      <c r="AA36" s="38">
        <v>37.85</v>
      </c>
    </row>
    <row r="37" spans="1:27" ht="16.5">
      <c r="A37" s="34" t="s">
        <v>21</v>
      </c>
      <c r="B37" s="50"/>
      <c r="C37" s="36" t="s">
        <v>30</v>
      </c>
      <c r="D37" s="35"/>
      <c r="E37" s="35">
        <v>22</v>
      </c>
      <c r="F37" s="35"/>
      <c r="G37" s="35">
        <v>128.21</v>
      </c>
      <c r="H37" s="35"/>
      <c r="I37" s="41">
        <v>100</v>
      </c>
      <c r="J37" s="37"/>
      <c r="K37" s="35"/>
      <c r="L37" s="35"/>
      <c r="M37" s="35">
        <v>0</v>
      </c>
      <c r="N37" s="35"/>
      <c r="O37" s="35"/>
      <c r="P37" s="35"/>
      <c r="Q37" s="35"/>
      <c r="R37" s="35"/>
      <c r="S37" s="35"/>
      <c r="T37" s="35"/>
      <c r="U37" s="38">
        <v>0</v>
      </c>
      <c r="V37" s="38"/>
      <c r="W37" s="38">
        <v>22</v>
      </c>
      <c r="X37" s="38"/>
      <c r="Y37" s="38">
        <v>100</v>
      </c>
      <c r="Z37" s="38"/>
      <c r="AA37" s="38">
        <v>0</v>
      </c>
    </row>
    <row r="38" spans="1:27" ht="16.5">
      <c r="A38" s="42" t="s">
        <v>42</v>
      </c>
      <c r="B38" s="49"/>
      <c r="C38" s="39" t="s">
        <v>4</v>
      </c>
      <c r="D38" s="40"/>
      <c r="E38" s="40">
        <v>17</v>
      </c>
      <c r="F38" s="40"/>
      <c r="G38" s="40">
        <v>120.48</v>
      </c>
      <c r="H38" s="40"/>
      <c r="I38" s="41">
        <v>100</v>
      </c>
      <c r="J38" s="41"/>
      <c r="K38" s="40">
        <v>25</v>
      </c>
      <c r="L38" s="40"/>
      <c r="M38" s="38">
        <v>25</v>
      </c>
      <c r="N38" s="40"/>
      <c r="O38" s="40"/>
      <c r="P38" s="40"/>
      <c r="Q38" s="40"/>
      <c r="R38" s="40"/>
      <c r="S38" s="40"/>
      <c r="T38" s="40"/>
      <c r="U38" s="38">
        <v>25</v>
      </c>
      <c r="V38" s="38"/>
      <c r="W38" s="38">
        <v>37.75</v>
      </c>
      <c r="X38" s="38"/>
      <c r="Y38" s="38">
        <v>45.03</v>
      </c>
      <c r="Z38" s="38"/>
      <c r="AA38" s="38">
        <v>54.97</v>
      </c>
    </row>
    <row r="39" spans="1:27" ht="16.5">
      <c r="A39" s="42" t="s">
        <v>127</v>
      </c>
      <c r="B39" s="49"/>
      <c r="C39" s="39" t="s">
        <v>29</v>
      </c>
      <c r="D39" s="40"/>
      <c r="E39" s="40">
        <v>30</v>
      </c>
      <c r="F39" s="40"/>
      <c r="G39" s="40">
        <v>142.86</v>
      </c>
      <c r="H39" s="40"/>
      <c r="I39" s="41">
        <v>100</v>
      </c>
      <c r="J39" s="41"/>
      <c r="K39" s="40"/>
      <c r="L39" s="40"/>
      <c r="M39" s="38">
        <v>27</v>
      </c>
      <c r="N39" s="40"/>
      <c r="O39" s="40"/>
      <c r="P39" s="40"/>
      <c r="Q39" s="40"/>
      <c r="R39" s="40"/>
      <c r="S39" s="40"/>
      <c r="T39" s="40"/>
      <c r="U39" s="38">
        <v>27</v>
      </c>
      <c r="V39" s="38"/>
      <c r="W39" s="38">
        <v>48.9</v>
      </c>
      <c r="X39" s="38"/>
      <c r="Y39" s="38">
        <v>61.35</v>
      </c>
      <c r="Z39" s="38"/>
      <c r="AA39" s="38">
        <v>38.65</v>
      </c>
    </row>
    <row r="40" spans="1:27" ht="16.5">
      <c r="A40" s="42" t="s">
        <v>23</v>
      </c>
      <c r="B40" s="49"/>
      <c r="C40" s="39" t="s">
        <v>4</v>
      </c>
      <c r="D40" s="40"/>
      <c r="E40" s="40">
        <v>22</v>
      </c>
      <c r="F40" s="40"/>
      <c r="G40" s="40">
        <v>128.21</v>
      </c>
      <c r="H40" s="40"/>
      <c r="I40" s="41">
        <v>100</v>
      </c>
      <c r="J40" s="41"/>
      <c r="K40" s="40"/>
      <c r="L40" s="40"/>
      <c r="M40" s="38">
        <v>30</v>
      </c>
      <c r="N40" s="40"/>
      <c r="O40" s="40"/>
      <c r="P40" s="40"/>
      <c r="Q40" s="40"/>
      <c r="R40" s="40"/>
      <c r="S40" s="40"/>
      <c r="T40" s="40"/>
      <c r="U40" s="38">
        <v>30</v>
      </c>
      <c r="V40" s="38"/>
      <c r="W40" s="38">
        <v>45.4</v>
      </c>
      <c r="X40" s="38"/>
      <c r="Y40" s="38">
        <v>48.46</v>
      </c>
      <c r="Z40" s="38"/>
      <c r="AA40" s="38">
        <v>51.54</v>
      </c>
    </row>
    <row r="41" spans="1:27" ht="16.5">
      <c r="A41" s="42" t="s">
        <v>128</v>
      </c>
      <c r="B41" s="49"/>
      <c r="C41" s="39" t="s">
        <v>29</v>
      </c>
      <c r="D41" s="40"/>
      <c r="E41" s="40">
        <v>21.15</v>
      </c>
      <c r="F41" s="40"/>
      <c r="G41" s="40">
        <v>126.82</v>
      </c>
      <c r="H41" s="40"/>
      <c r="I41" s="41">
        <v>100</v>
      </c>
      <c r="J41" s="41"/>
      <c r="K41" s="40"/>
      <c r="L41" s="40"/>
      <c r="M41" s="38">
        <v>21.14</v>
      </c>
      <c r="N41" s="40"/>
      <c r="O41" s="40"/>
      <c r="P41" s="40"/>
      <c r="Q41" s="40"/>
      <c r="R41" s="40"/>
      <c r="S41" s="40"/>
      <c r="T41" s="40"/>
      <c r="U41" s="38">
        <v>21.14</v>
      </c>
      <c r="V41" s="38"/>
      <c r="W41" s="38">
        <v>37.81</v>
      </c>
      <c r="X41" s="38"/>
      <c r="Y41" s="38">
        <v>55.93</v>
      </c>
      <c r="Z41" s="38"/>
      <c r="AA41" s="38">
        <v>44.07</v>
      </c>
    </row>
    <row r="42" spans="1:27" ht="16.5">
      <c r="A42" s="42" t="s">
        <v>24</v>
      </c>
      <c r="B42" s="49"/>
      <c r="C42" s="39" t="s">
        <v>25</v>
      </c>
      <c r="D42" s="40"/>
      <c r="E42" s="40">
        <v>20</v>
      </c>
      <c r="F42" s="40"/>
      <c r="G42" s="40">
        <v>125</v>
      </c>
      <c r="H42" s="40"/>
      <c r="I42" s="41">
        <v>100</v>
      </c>
      <c r="J42" s="41"/>
      <c r="K42" s="40"/>
      <c r="L42" s="40"/>
      <c r="M42" s="38">
        <v>35</v>
      </c>
      <c r="N42" s="40"/>
      <c r="O42" s="40"/>
      <c r="P42" s="40"/>
      <c r="Q42" s="40"/>
      <c r="R42" s="40"/>
      <c r="S42" s="40"/>
      <c r="T42" s="40"/>
      <c r="U42" s="38">
        <v>17.5</v>
      </c>
      <c r="V42" s="38"/>
      <c r="W42" s="38">
        <v>34</v>
      </c>
      <c r="X42" s="38"/>
      <c r="Y42" s="38">
        <v>58.82</v>
      </c>
      <c r="Z42" s="38" t="e">
        <f>(H42-J42)/(H42-J42+L42+V42)*100</f>
        <v>#DIV/0!</v>
      </c>
      <c r="AA42" s="38">
        <v>41.18</v>
      </c>
    </row>
    <row r="43" spans="1:27" ht="16.5">
      <c r="A43" s="42" t="s">
        <v>129</v>
      </c>
      <c r="B43" s="49"/>
      <c r="C43" s="45" t="s">
        <v>6</v>
      </c>
      <c r="D43" s="46"/>
      <c r="E43" s="40">
        <v>21</v>
      </c>
      <c r="F43" s="40"/>
      <c r="G43" s="40">
        <v>126.58</v>
      </c>
      <c r="H43" s="40"/>
      <c r="I43" s="41">
        <v>100</v>
      </c>
      <c r="J43" s="41"/>
      <c r="K43" s="40"/>
      <c r="L43" s="40"/>
      <c r="M43" s="38">
        <v>37.5</v>
      </c>
      <c r="N43" s="40"/>
      <c r="O43" s="40">
        <v>111.11</v>
      </c>
      <c r="P43" s="40"/>
      <c r="Q43" s="40">
        <v>10</v>
      </c>
      <c r="R43" s="40"/>
      <c r="S43" s="40">
        <v>11.11</v>
      </c>
      <c r="T43" s="40"/>
      <c r="U43" s="38">
        <v>30.56</v>
      </c>
      <c r="V43" s="38"/>
      <c r="W43" s="38">
        <v>45.14</v>
      </c>
      <c r="X43" s="38"/>
      <c r="Y43" s="38">
        <v>46.52</v>
      </c>
      <c r="Z43" s="38"/>
      <c r="AA43" s="38">
        <v>53.48</v>
      </c>
    </row>
    <row r="44" spans="1:27" ht="16.5">
      <c r="A44" s="42" t="s">
        <v>130</v>
      </c>
      <c r="B44" s="49"/>
      <c r="C44" s="39" t="s">
        <v>29</v>
      </c>
      <c r="D44" s="40"/>
      <c r="E44" s="40">
        <v>39.13</v>
      </c>
      <c r="F44" s="40"/>
      <c r="G44" s="40">
        <v>164.3</v>
      </c>
      <c r="H44" s="40"/>
      <c r="I44" s="41">
        <v>100</v>
      </c>
      <c r="J44" s="41"/>
      <c r="K44" s="40"/>
      <c r="L44" s="40"/>
      <c r="M44" s="38">
        <v>30.34</v>
      </c>
      <c r="N44" s="40"/>
      <c r="O44" s="40"/>
      <c r="P44" s="40"/>
      <c r="Q44" s="40"/>
      <c r="R44" s="40"/>
      <c r="S44" s="40"/>
      <c r="T44" s="40"/>
      <c r="U44" s="38">
        <v>30.34</v>
      </c>
      <c r="V44" s="38"/>
      <c r="W44" s="38">
        <v>57.6</v>
      </c>
      <c r="X44" s="38"/>
      <c r="Y44" s="38">
        <v>67.94</v>
      </c>
      <c r="Z44" s="38"/>
      <c r="AA44" s="38">
        <v>32.06</v>
      </c>
    </row>
    <row r="45" spans="1:27" ht="15.75" thickBot="1">
      <c r="A45" s="28"/>
      <c r="B45" s="28"/>
      <c r="C45" s="28"/>
      <c r="D45" s="28"/>
      <c r="E45" s="28"/>
      <c r="F45" s="28"/>
      <c r="G45" s="28"/>
      <c r="H45" s="28"/>
      <c r="I45" s="28"/>
      <c r="J45" s="28"/>
      <c r="K45" s="28"/>
      <c r="L45" s="28"/>
      <c r="M45" s="28"/>
      <c r="N45" s="28"/>
      <c r="O45" s="28"/>
      <c r="P45" s="28"/>
      <c r="Q45" s="28"/>
      <c r="R45" s="28"/>
      <c r="S45" s="28"/>
      <c r="T45" s="28"/>
      <c r="U45" s="29"/>
      <c r="V45" s="28"/>
      <c r="W45" s="28"/>
      <c r="X45" s="28"/>
      <c r="Y45" s="28"/>
      <c r="Z45" s="28"/>
      <c r="AA45" s="28"/>
    </row>
  </sheetData>
  <sheetProtection/>
  <mergeCells count="13">
    <mergeCell ref="AA5:AA8"/>
    <mergeCell ref="O5:O8"/>
    <mergeCell ref="Q5:Q8"/>
    <mergeCell ref="S5:S8"/>
    <mergeCell ref="U5:U8"/>
    <mergeCell ref="W5:W8"/>
    <mergeCell ref="Y5:Y8"/>
    <mergeCell ref="C5:C8"/>
    <mergeCell ref="E5:E8"/>
    <mergeCell ref="G5:G8"/>
    <mergeCell ref="I5:I8"/>
    <mergeCell ref="K5:K8"/>
    <mergeCell ref="M5:M8"/>
  </mergeCells>
  <printOptions/>
  <pageMargins left="0.25" right="0.25" top="1" bottom="1" header="0.3" footer="0.3"/>
  <pageSetup fitToHeight="1" fitToWidth="1" horizontalDpi="300" verticalDpi="300" orientation="portrait" paperSize="9" scale="42"/>
  <drawing r:id="rId1"/>
</worksheet>
</file>

<file path=xl/worksheets/sheet4.xml><?xml version="1.0" encoding="utf-8"?>
<worksheet xmlns="http://schemas.openxmlformats.org/spreadsheetml/2006/main" xmlns:r="http://schemas.openxmlformats.org/officeDocument/2006/relationships">
  <sheetPr>
    <pageSetUpPr fitToPage="1"/>
  </sheetPr>
  <dimension ref="A1:AA45"/>
  <sheetViews>
    <sheetView showGridLines="0" zoomScaleSheetLayoutView="85" zoomScalePageLayoutView="0" workbookViewId="0" topLeftCell="A1">
      <selection activeCell="A1" sqref="A1:IV65536"/>
    </sheetView>
  </sheetViews>
  <sheetFormatPr defaultColWidth="9.140625" defaultRowHeight="12.75"/>
  <cols>
    <col min="1" max="1" width="16.2812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7.140625" style="2" customWidth="1"/>
    <col min="10" max="10" width="0.85546875" style="2" customWidth="1"/>
    <col min="11" max="11" width="7.710937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421875" style="2" customWidth="1"/>
    <col min="18" max="18" width="0.85546875" style="2" customWidth="1"/>
    <col min="19" max="19" width="12.421875" style="2" customWidth="1"/>
    <col min="20" max="20" width="0.85546875" style="2" customWidth="1"/>
    <col min="21" max="21" width="8.7109375" style="2" customWidth="1"/>
    <col min="22" max="22" width="0.85546875" style="2" customWidth="1"/>
    <col min="23" max="23" width="7.421875" style="2" customWidth="1"/>
    <col min="24" max="24" width="0.9921875" style="2" customWidth="1"/>
    <col min="25" max="25" width="7.7109375" style="2" customWidth="1"/>
    <col min="26" max="26" width="1.28515625" style="2" customWidth="1"/>
    <col min="27" max="27" width="7.8515625" style="2" customWidth="1"/>
    <col min="28" max="16384" width="9.140625" style="2" customWidth="1"/>
  </cols>
  <sheetData>
    <row r="1" spans="1:21" ht="12.75">
      <c r="A1" s="1">
        <v>41680</v>
      </c>
      <c r="C1" s="3"/>
      <c r="U1" s="4"/>
    </row>
    <row r="2" spans="1:27" ht="12.75">
      <c r="A2" s="5" t="s">
        <v>118</v>
      </c>
      <c r="B2" s="6"/>
      <c r="C2" s="6"/>
      <c r="D2" s="6"/>
      <c r="E2" s="6"/>
      <c r="F2" s="6"/>
      <c r="G2" s="6"/>
      <c r="H2" s="6"/>
      <c r="I2" s="6"/>
      <c r="J2" s="6"/>
      <c r="K2" s="6"/>
      <c r="L2" s="6"/>
      <c r="M2" s="6"/>
      <c r="N2" s="6"/>
      <c r="O2" s="6"/>
      <c r="P2" s="6"/>
      <c r="Q2" s="6"/>
      <c r="R2" s="6"/>
      <c r="S2" s="6"/>
      <c r="T2" s="6"/>
      <c r="U2" s="6"/>
      <c r="V2" s="6"/>
      <c r="W2" s="6"/>
      <c r="X2" s="6"/>
      <c r="Y2" s="6"/>
      <c r="Z2" s="6"/>
      <c r="AA2" s="6"/>
    </row>
    <row r="3" spans="1:27" ht="13.5" thickBot="1">
      <c r="A3" s="7"/>
      <c r="B3" s="7"/>
      <c r="C3" s="7"/>
      <c r="D3" s="7"/>
      <c r="E3" s="7"/>
      <c r="F3" s="7"/>
      <c r="G3" s="7"/>
      <c r="H3" s="7"/>
      <c r="I3" s="7"/>
      <c r="J3" s="7"/>
      <c r="K3" s="7"/>
      <c r="L3" s="7"/>
      <c r="M3" s="7"/>
      <c r="N3" s="7"/>
      <c r="O3" s="7"/>
      <c r="P3" s="7"/>
      <c r="Q3" s="7"/>
      <c r="R3" s="7"/>
      <c r="S3" s="7"/>
      <c r="T3" s="7"/>
      <c r="U3" s="7"/>
      <c r="V3" s="7"/>
      <c r="W3" s="7"/>
      <c r="X3" s="7"/>
      <c r="Y3" s="7"/>
      <c r="Z3" s="7"/>
      <c r="AA3" s="7"/>
    </row>
    <row r="4" ht="12.75">
      <c r="U4" s="4"/>
    </row>
    <row r="5" spans="1:27" ht="12.75">
      <c r="A5" s="9"/>
      <c r="B5" s="9"/>
      <c r="C5" s="51" t="s">
        <v>0</v>
      </c>
      <c r="D5" s="10"/>
      <c r="E5" s="51" t="s">
        <v>46</v>
      </c>
      <c r="F5" s="11"/>
      <c r="G5" s="51" t="s">
        <v>47</v>
      </c>
      <c r="H5" s="11"/>
      <c r="I5" s="51" t="s">
        <v>48</v>
      </c>
      <c r="J5" s="10"/>
      <c r="K5" s="51" t="s">
        <v>78</v>
      </c>
      <c r="L5" s="11"/>
      <c r="M5" s="51" t="s">
        <v>50</v>
      </c>
      <c r="N5" s="10"/>
      <c r="O5" s="51" t="s">
        <v>51</v>
      </c>
      <c r="P5" s="11"/>
      <c r="Q5" s="51" t="s">
        <v>52</v>
      </c>
      <c r="R5" s="11"/>
      <c r="S5" s="51" t="s">
        <v>53</v>
      </c>
      <c r="T5" s="11"/>
      <c r="U5" s="51" t="s">
        <v>54</v>
      </c>
      <c r="V5" s="10"/>
      <c r="W5" s="51" t="s">
        <v>55</v>
      </c>
      <c r="X5" s="12"/>
      <c r="Y5" s="51" t="s">
        <v>56</v>
      </c>
      <c r="Z5" s="12"/>
      <c r="AA5" s="51" t="s">
        <v>57</v>
      </c>
    </row>
    <row r="6" spans="1:27" ht="12.75">
      <c r="A6" s="12"/>
      <c r="B6" s="9"/>
      <c r="C6" s="52"/>
      <c r="D6" s="10"/>
      <c r="E6" s="52"/>
      <c r="F6" s="11"/>
      <c r="G6" s="52"/>
      <c r="H6" s="11"/>
      <c r="I6" s="52"/>
      <c r="J6" s="10"/>
      <c r="K6" s="52"/>
      <c r="L6" s="11"/>
      <c r="M6" s="52"/>
      <c r="N6" s="13"/>
      <c r="O6" s="52"/>
      <c r="P6" s="11"/>
      <c r="Q6" s="52"/>
      <c r="R6" s="11"/>
      <c r="S6" s="52"/>
      <c r="T6" s="11"/>
      <c r="U6" s="52"/>
      <c r="V6" s="10"/>
      <c r="W6" s="52"/>
      <c r="X6" s="12"/>
      <c r="Y6" s="52"/>
      <c r="Z6" s="12"/>
      <c r="AA6" s="52"/>
    </row>
    <row r="7" spans="1:27" ht="12.75">
      <c r="A7" s="14"/>
      <c r="B7" s="9"/>
      <c r="C7" s="52"/>
      <c r="D7" s="10"/>
      <c r="E7" s="52"/>
      <c r="F7" s="11"/>
      <c r="G7" s="52"/>
      <c r="H7" s="11"/>
      <c r="I7" s="52"/>
      <c r="J7" s="10"/>
      <c r="K7" s="52"/>
      <c r="L7" s="11"/>
      <c r="M7" s="52"/>
      <c r="N7" s="13"/>
      <c r="O7" s="52"/>
      <c r="P7" s="11"/>
      <c r="Q7" s="52"/>
      <c r="R7" s="11"/>
      <c r="S7" s="52"/>
      <c r="T7" s="11"/>
      <c r="U7" s="52"/>
      <c r="V7" s="10"/>
      <c r="W7" s="52"/>
      <c r="X7" s="12"/>
      <c r="Y7" s="52"/>
      <c r="Z7" s="12"/>
      <c r="AA7" s="52"/>
    </row>
    <row r="8" spans="1:27" ht="12.75">
      <c r="A8" s="14" t="s">
        <v>1</v>
      </c>
      <c r="B8" s="9"/>
      <c r="C8" s="52"/>
      <c r="D8" s="10"/>
      <c r="E8" s="52"/>
      <c r="F8" s="11"/>
      <c r="G8" s="52"/>
      <c r="H8" s="11"/>
      <c r="I8" s="52"/>
      <c r="J8" s="10"/>
      <c r="K8" s="52"/>
      <c r="L8" s="11"/>
      <c r="M8" s="52"/>
      <c r="N8" s="13"/>
      <c r="O8" s="52"/>
      <c r="P8" s="11"/>
      <c r="Q8" s="52"/>
      <c r="R8" s="11"/>
      <c r="S8" s="52"/>
      <c r="T8" s="11"/>
      <c r="U8" s="52"/>
      <c r="V8" s="10"/>
      <c r="W8" s="52"/>
      <c r="X8" s="12"/>
      <c r="Y8" s="52"/>
      <c r="Z8" s="12"/>
      <c r="AA8" s="52"/>
    </row>
    <row r="9" spans="1:27" ht="12.75">
      <c r="A9" s="15"/>
      <c r="B9" s="15"/>
      <c r="C9" s="16"/>
      <c r="D9" s="17"/>
      <c r="E9" s="16"/>
      <c r="F9" s="18"/>
      <c r="G9" s="16"/>
      <c r="H9" s="18"/>
      <c r="I9" s="16"/>
      <c r="J9" s="17"/>
      <c r="K9" s="16"/>
      <c r="L9" s="18"/>
      <c r="M9" s="16"/>
      <c r="N9" s="16"/>
      <c r="O9" s="18"/>
      <c r="P9" s="18"/>
      <c r="Q9" s="18"/>
      <c r="R9" s="18"/>
      <c r="S9" s="18"/>
      <c r="T9" s="18"/>
      <c r="U9" s="15"/>
      <c r="V9" s="17"/>
      <c r="W9" s="16"/>
      <c r="X9" s="16"/>
      <c r="Y9" s="16"/>
      <c r="Z9" s="16"/>
      <c r="AA9" s="16"/>
    </row>
    <row r="10" ht="12.75">
      <c r="U10" s="4"/>
    </row>
    <row r="11" spans="1:27" ht="12.75">
      <c r="A11" s="34" t="s">
        <v>58</v>
      </c>
      <c r="B11" s="35"/>
      <c r="C11" s="36" t="s">
        <v>2</v>
      </c>
      <c r="D11" s="35"/>
      <c r="E11" s="35">
        <v>30</v>
      </c>
      <c r="F11" s="35"/>
      <c r="G11" s="35">
        <v>142.9</v>
      </c>
      <c r="H11" s="35"/>
      <c r="I11" s="37">
        <v>100</v>
      </c>
      <c r="J11" s="37"/>
      <c r="K11" s="35"/>
      <c r="L11" s="35"/>
      <c r="M11" s="35">
        <v>46.5</v>
      </c>
      <c r="N11" s="35"/>
      <c r="O11" s="35">
        <v>142.9</v>
      </c>
      <c r="P11" s="35"/>
      <c r="Q11" s="35">
        <v>30</v>
      </c>
      <c r="R11" s="35"/>
      <c r="S11" s="35">
        <v>42.9</v>
      </c>
      <c r="T11" s="35"/>
      <c r="U11" s="35">
        <v>23.6</v>
      </c>
      <c r="V11" s="35"/>
      <c r="W11" s="38">
        <f>(G11-I11+U11)/G11*100</f>
        <v>46.53603918824353</v>
      </c>
      <c r="X11" s="35"/>
      <c r="Y11" s="35">
        <v>64.5</v>
      </c>
      <c r="Z11" s="35"/>
      <c r="AA11" s="35">
        <f>(U11/((G11-I11)+U11))*100</f>
        <v>35.48872180451128</v>
      </c>
    </row>
    <row r="12" spans="1:27" ht="12.75">
      <c r="A12" s="12" t="s">
        <v>3</v>
      </c>
      <c r="C12" s="39" t="s">
        <v>4</v>
      </c>
      <c r="D12" s="40"/>
      <c r="E12" s="40">
        <v>25</v>
      </c>
      <c r="F12" s="40"/>
      <c r="G12" s="40">
        <v>133.33333333333334</v>
      </c>
      <c r="H12" s="40"/>
      <c r="I12" s="41">
        <v>100</v>
      </c>
      <c r="J12" s="41"/>
      <c r="K12" s="40">
        <v>25</v>
      </c>
      <c r="L12" s="40"/>
      <c r="M12" s="38">
        <v>25</v>
      </c>
      <c r="N12" s="40"/>
      <c r="O12" s="40"/>
      <c r="P12" s="40"/>
      <c r="Q12" s="40"/>
      <c r="R12" s="40"/>
      <c r="S12" s="40"/>
      <c r="T12" s="40"/>
      <c r="U12" s="38">
        <v>25</v>
      </c>
      <c r="V12" s="38"/>
      <c r="W12" s="38">
        <v>43.75000000000001</v>
      </c>
      <c r="X12" s="38"/>
      <c r="Y12" s="38">
        <v>57.14285714285715</v>
      </c>
      <c r="Z12" s="38"/>
      <c r="AA12" s="38">
        <v>42.85714285714285</v>
      </c>
    </row>
    <row r="13" spans="1:27" ht="12.75">
      <c r="A13" s="12" t="s">
        <v>59</v>
      </c>
      <c r="B13" s="48"/>
      <c r="C13" s="39" t="s">
        <v>4</v>
      </c>
      <c r="D13" s="40"/>
      <c r="E13" s="40">
        <v>33.99</v>
      </c>
      <c r="F13" s="40"/>
      <c r="G13" s="40">
        <v>151.4921981517952</v>
      </c>
      <c r="H13" s="40"/>
      <c r="I13" s="41">
        <v>100</v>
      </c>
      <c r="J13" s="41"/>
      <c r="K13" s="40"/>
      <c r="L13" s="40"/>
      <c r="M13" s="38">
        <v>25</v>
      </c>
      <c r="N13" s="40"/>
      <c r="O13" s="40"/>
      <c r="P13" s="40"/>
      <c r="Q13" s="40"/>
      <c r="R13" s="40"/>
      <c r="S13" s="40"/>
      <c r="T13" s="40"/>
      <c r="U13" s="38">
        <v>25</v>
      </c>
      <c r="V13" s="38"/>
      <c r="W13" s="38">
        <v>50.49250000000001</v>
      </c>
      <c r="X13" s="38"/>
      <c r="Y13" s="38">
        <v>67.31692825667179</v>
      </c>
      <c r="Z13" s="38"/>
      <c r="AA13" s="38">
        <v>32.683071743328206</v>
      </c>
    </row>
    <row r="14" spans="1:27" ht="12.75">
      <c r="A14" s="42" t="s">
        <v>87</v>
      </c>
      <c r="B14" s="49"/>
      <c r="C14" s="39" t="s">
        <v>2</v>
      </c>
      <c r="D14" s="40"/>
      <c r="E14" s="40">
        <v>26.25</v>
      </c>
      <c r="F14" s="40"/>
      <c r="G14" s="40">
        <v>135.31799729364005</v>
      </c>
      <c r="H14" s="40"/>
      <c r="I14" s="41">
        <v>100</v>
      </c>
      <c r="J14" s="41"/>
      <c r="K14" s="40"/>
      <c r="L14" s="40"/>
      <c r="M14" s="38">
        <v>49.53</v>
      </c>
      <c r="N14" s="40"/>
      <c r="O14" s="40">
        <v>138</v>
      </c>
      <c r="P14" s="40"/>
      <c r="Q14" s="40">
        <v>25.003800000000002</v>
      </c>
      <c r="R14" s="40"/>
      <c r="S14" s="40">
        <v>34.505244000000005</v>
      </c>
      <c r="T14" s="40"/>
      <c r="U14" s="38">
        <f>+(M14/100)*MAX(I14,O14)-S14</f>
        <v>33.84615599999999</v>
      </c>
      <c r="V14" s="38"/>
      <c r="W14" s="38">
        <f>(G14-I14+U14)/G14*100</f>
        <v>51.11230928399999</v>
      </c>
      <c r="X14" s="38"/>
      <c r="Y14" s="38">
        <f>((G14-I14)/((G14-I14)+U14))*100</f>
        <v>51.06402032234188</v>
      </c>
      <c r="Z14" s="38"/>
      <c r="AA14" s="38">
        <f>(U14/((G14-I14)+U14))*100</f>
        <v>48.93597967765811</v>
      </c>
    </row>
    <row r="15" spans="1:27" ht="12.75">
      <c r="A15" s="12" t="s">
        <v>41</v>
      </c>
      <c r="B15" s="49"/>
      <c r="C15" s="39" t="s">
        <v>2</v>
      </c>
      <c r="D15" s="40"/>
      <c r="E15" s="40">
        <v>20</v>
      </c>
      <c r="F15" s="40"/>
      <c r="G15" s="40">
        <v>125</v>
      </c>
      <c r="H15" s="40"/>
      <c r="I15" s="41">
        <v>100</v>
      </c>
      <c r="J15" s="41"/>
      <c r="K15" s="40"/>
      <c r="L15" s="40"/>
      <c r="M15" s="38">
        <v>40</v>
      </c>
      <c r="N15" s="40"/>
      <c r="O15" s="40">
        <f>+I15/(1-E15/100)</f>
        <v>125</v>
      </c>
      <c r="P15" s="40"/>
      <c r="Q15" s="40">
        <f>+((G15-100)/G15)*100</f>
        <v>20</v>
      </c>
      <c r="R15" s="40"/>
      <c r="S15" s="40">
        <f>+G15*E15/100</f>
        <v>25</v>
      </c>
      <c r="T15" s="40" t="s">
        <v>40</v>
      </c>
      <c r="U15" s="38">
        <f>+(M15/100)*MAX(I15,O15)-S15</f>
        <v>25</v>
      </c>
      <c r="V15" s="38"/>
      <c r="W15" s="38">
        <f>(G15-I15+U15)/G15*100</f>
        <v>40</v>
      </c>
      <c r="X15" s="38"/>
      <c r="Y15" s="38">
        <f>((G15-I15)/((G15-I15)+U15))*100</f>
        <v>50</v>
      </c>
      <c r="Z15" s="38"/>
      <c r="AA15" s="38">
        <f>(U15/((G15-I15)+U15))*100</f>
        <v>50</v>
      </c>
    </row>
    <row r="16" spans="1:27" ht="12.75">
      <c r="A16" s="42" t="s">
        <v>7</v>
      </c>
      <c r="B16" s="49"/>
      <c r="C16" s="39" t="s">
        <v>4</v>
      </c>
      <c r="D16" s="40"/>
      <c r="E16" s="40">
        <v>19</v>
      </c>
      <c r="F16" s="40"/>
      <c r="G16" s="40">
        <v>123.45679012345678</v>
      </c>
      <c r="H16" s="40"/>
      <c r="I16" s="41">
        <v>100</v>
      </c>
      <c r="J16" s="41"/>
      <c r="K16" s="40">
        <v>15</v>
      </c>
      <c r="L16" s="40"/>
      <c r="M16" s="38">
        <v>15</v>
      </c>
      <c r="N16" s="40"/>
      <c r="O16" s="40"/>
      <c r="P16" s="40"/>
      <c r="Q16" s="40"/>
      <c r="R16" s="40"/>
      <c r="S16" s="40"/>
      <c r="T16" s="40"/>
      <c r="U16" s="38">
        <f>+(M16/100)*MAX(I16,O16)-S16</f>
        <v>15</v>
      </c>
      <c r="V16" s="38"/>
      <c r="W16" s="38">
        <f>(G16-I16+U16)/G16*100</f>
        <v>31.149999999999995</v>
      </c>
      <c r="X16" s="38"/>
      <c r="Y16" s="38">
        <f>((G16-I16)/((G16-I16)+U16))*100</f>
        <v>60.9951845906902</v>
      </c>
      <c r="Z16" s="38"/>
      <c r="AA16" s="38">
        <f>(U16/((G16-I16)+U16))*100</f>
        <v>39.00481540930979</v>
      </c>
    </row>
    <row r="17" spans="1:27" ht="12.75">
      <c r="A17" s="42" t="s">
        <v>8</v>
      </c>
      <c r="B17" s="49"/>
      <c r="C17" s="39" t="s">
        <v>29</v>
      </c>
      <c r="D17" s="40"/>
      <c r="E17" s="40">
        <v>25</v>
      </c>
      <c r="F17" s="40"/>
      <c r="G17" s="40">
        <f aca="true" t="shared" si="0" ref="G17:G44">100/(1-E17/100)</f>
        <v>133.33333333333334</v>
      </c>
      <c r="H17" s="40"/>
      <c r="I17" s="41">
        <v>100</v>
      </c>
      <c r="J17" s="41"/>
      <c r="K17" s="40"/>
      <c r="L17" s="40"/>
      <c r="M17" s="38">
        <v>42</v>
      </c>
      <c r="N17" s="40"/>
      <c r="O17" s="40"/>
      <c r="P17" s="40"/>
      <c r="Q17" s="40"/>
      <c r="R17" s="40"/>
      <c r="S17" s="40"/>
      <c r="T17" s="40"/>
      <c r="U17" s="38">
        <f>+(M17/100)*MAX(I17,O17)-S17</f>
        <v>42</v>
      </c>
      <c r="V17" s="38"/>
      <c r="W17" s="38">
        <f>(G17-I17+U17)/G17*100</f>
        <v>56.50000000000001</v>
      </c>
      <c r="X17" s="38"/>
      <c r="Y17" s="38">
        <f aca="true" t="shared" si="1" ref="Y17:Y42">((G17-I17)/((G17-I17)+U17))*100</f>
        <v>44.247787610619476</v>
      </c>
      <c r="Z17" s="38" t="e">
        <f>+T17/(F17-H17+T17)*100</f>
        <v>#DIV/0!</v>
      </c>
      <c r="AA17" s="38">
        <f aca="true" t="shared" si="2" ref="AA17:AA42">(U17/((G17-I17)+U17))*100</f>
        <v>55.75221238938053</v>
      </c>
    </row>
    <row r="18" spans="1:27" ht="12.75">
      <c r="A18" s="34" t="s">
        <v>44</v>
      </c>
      <c r="B18" s="50"/>
      <c r="C18" s="36" t="s">
        <v>30</v>
      </c>
      <c r="D18" s="35"/>
      <c r="E18" s="35">
        <v>21</v>
      </c>
      <c r="F18" s="35"/>
      <c r="G18" s="35">
        <f>100/(1-E18/100)</f>
        <v>126.58227848101265</v>
      </c>
      <c r="H18" s="35"/>
      <c r="I18" s="37">
        <v>100</v>
      </c>
      <c r="J18" s="37"/>
      <c r="K18" s="35" t="s">
        <v>34</v>
      </c>
      <c r="L18" s="35"/>
      <c r="M18" s="43">
        <v>0</v>
      </c>
      <c r="N18" s="35"/>
      <c r="O18" s="35"/>
      <c r="P18" s="35"/>
      <c r="Q18" s="35"/>
      <c r="R18" s="35"/>
      <c r="S18" s="35"/>
      <c r="T18" s="35"/>
      <c r="U18" s="43">
        <f>+(M18/100)*MAX(I18,O18)-S18</f>
        <v>0</v>
      </c>
      <c r="V18" s="43"/>
      <c r="W18" s="43">
        <f>(U18+(G18-I18))/G18*100</f>
        <v>20.999999999999996</v>
      </c>
      <c r="X18" s="43"/>
      <c r="Y18" s="44">
        <f t="shared" si="1"/>
        <v>100</v>
      </c>
      <c r="Z18" s="43"/>
      <c r="AA18" s="43">
        <f t="shared" si="2"/>
        <v>0</v>
      </c>
    </row>
    <row r="19" spans="1:27" ht="12.75">
      <c r="A19" s="12" t="s">
        <v>88</v>
      </c>
      <c r="B19" s="49"/>
      <c r="C19" s="39" t="s">
        <v>25</v>
      </c>
      <c r="D19" s="40"/>
      <c r="E19" s="40">
        <v>24.5</v>
      </c>
      <c r="F19" s="40"/>
      <c r="G19" s="40">
        <v>132.4503311258278</v>
      </c>
      <c r="H19" s="40"/>
      <c r="I19" s="41">
        <v>100</v>
      </c>
      <c r="J19" s="41"/>
      <c r="K19" s="40"/>
      <c r="L19" s="40"/>
      <c r="M19" s="38">
        <v>32</v>
      </c>
      <c r="N19" s="40"/>
      <c r="O19" s="40"/>
      <c r="P19" s="40"/>
      <c r="Q19" s="40"/>
      <c r="R19" s="40"/>
      <c r="S19" s="40"/>
      <c r="T19" s="40"/>
      <c r="U19" s="38">
        <f>I19*0.7*M19/100</f>
        <v>22.4</v>
      </c>
      <c r="V19" s="38"/>
      <c r="W19" s="38">
        <f>(G19-I19+U19)/G19*100</f>
        <v>41.41199999999999</v>
      </c>
      <c r="X19" s="38"/>
      <c r="Y19" s="38">
        <f t="shared" si="1"/>
        <v>59.16159567275186</v>
      </c>
      <c r="Z19" s="38"/>
      <c r="AA19" s="38">
        <f t="shared" si="2"/>
        <v>40.83840432724815</v>
      </c>
    </row>
    <row r="20" spans="1:27" ht="12.75">
      <c r="A20" s="42" t="s">
        <v>89</v>
      </c>
      <c r="B20" s="49"/>
      <c r="C20" s="39" t="s">
        <v>25</v>
      </c>
      <c r="D20" s="40"/>
      <c r="E20" s="40">
        <f>(1-(1-0.3443)*(1-0.03))*100</f>
        <v>36.3971</v>
      </c>
      <c r="F20" s="40"/>
      <c r="G20" s="40">
        <f aca="true" t="shared" si="3" ref="G20:G25">100/(1-E20/100)</f>
        <v>157.22553531364136</v>
      </c>
      <c r="H20" s="40"/>
      <c r="I20" s="41">
        <v>100</v>
      </c>
      <c r="J20" s="41"/>
      <c r="K20" s="40"/>
      <c r="L20" s="40"/>
      <c r="M20" s="38">
        <f>15.5+(1-40%-5.1%)*45+(1-5.1%)*4</f>
        <v>44.001</v>
      </c>
      <c r="N20" s="40"/>
      <c r="O20" s="40"/>
      <c r="P20" s="40"/>
      <c r="Q20" s="40"/>
      <c r="R20" s="40"/>
      <c r="S20" s="40"/>
      <c r="T20" s="40"/>
      <c r="U20" s="38">
        <f>+(M20/100)*MAX(I20,O20)-S20</f>
        <v>44.001</v>
      </c>
      <c r="V20" s="38"/>
      <c r="W20" s="38">
        <f>(G20-I20+U20)/G20*100</f>
        <v>64.38301202900001</v>
      </c>
      <c r="X20" s="38"/>
      <c r="Y20" s="38">
        <f t="shared" si="1"/>
        <v>56.53214854813825</v>
      </c>
      <c r="Z20" s="38"/>
      <c r="AA20" s="38">
        <f t="shared" si="2"/>
        <v>43.46785145186175</v>
      </c>
    </row>
    <row r="21" spans="1:27" ht="12.75">
      <c r="A21" s="12" t="s">
        <v>9</v>
      </c>
      <c r="B21" s="49"/>
      <c r="C21" s="39" t="s">
        <v>4</v>
      </c>
      <c r="D21" s="40"/>
      <c r="E21" s="40">
        <v>30.175</v>
      </c>
      <c r="F21" s="40"/>
      <c r="G21" s="40">
        <f t="shared" si="3"/>
        <v>143.21518080916576</v>
      </c>
      <c r="H21" s="40"/>
      <c r="I21" s="41">
        <v>100</v>
      </c>
      <c r="J21" s="41"/>
      <c r="K21" s="40">
        <v>26.375</v>
      </c>
      <c r="L21" s="40"/>
      <c r="M21" s="38">
        <v>26.375</v>
      </c>
      <c r="N21" s="40"/>
      <c r="O21" s="40"/>
      <c r="P21" s="40"/>
      <c r="Q21" s="40"/>
      <c r="R21" s="40"/>
      <c r="S21" s="40"/>
      <c r="T21" s="40"/>
      <c r="U21" s="38">
        <v>26.375</v>
      </c>
      <c r="V21" s="38"/>
      <c r="W21" s="38">
        <f>(G21-I21+U21)/G21*100</f>
        <v>48.59134374999999</v>
      </c>
      <c r="X21" s="38"/>
      <c r="Y21" s="38">
        <f>((G21-I21)/((G21-I21)+U21))*100</f>
        <v>62.09953804786474</v>
      </c>
      <c r="Z21" s="38"/>
      <c r="AA21" s="38">
        <f>(U21/((G21-I21)+U21))*100</f>
        <v>37.90046195213526</v>
      </c>
    </row>
    <row r="22" spans="1:27" ht="12.75">
      <c r="A22" s="34" t="s">
        <v>119</v>
      </c>
      <c r="B22" s="50"/>
      <c r="C22" s="36" t="s">
        <v>4</v>
      </c>
      <c r="D22" s="35"/>
      <c r="E22" s="35">
        <v>26</v>
      </c>
      <c r="F22" s="35"/>
      <c r="G22" s="35">
        <f t="shared" si="3"/>
        <v>135.13513513513513</v>
      </c>
      <c r="H22" s="35"/>
      <c r="I22" s="37">
        <v>100</v>
      </c>
      <c r="J22" s="37"/>
      <c r="K22" s="35">
        <v>10</v>
      </c>
      <c r="L22" s="35"/>
      <c r="M22" s="35">
        <v>10</v>
      </c>
      <c r="N22" s="35"/>
      <c r="O22" s="35"/>
      <c r="P22" s="35"/>
      <c r="Q22" s="35"/>
      <c r="R22" s="35"/>
      <c r="S22" s="35"/>
      <c r="T22" s="35"/>
      <c r="U22" s="35">
        <v>10</v>
      </c>
      <c r="V22" s="35"/>
      <c r="W22" s="35">
        <f>((G22-I22+U22)/G22)*100</f>
        <v>33.4</v>
      </c>
      <c r="X22" s="35"/>
      <c r="Y22" s="35">
        <f>((G22-I22)/((G22-I22)+U22))*100</f>
        <v>77.8443113772455</v>
      </c>
      <c r="Z22" s="35"/>
      <c r="AA22" s="35">
        <f>(U22/((G22-I22)+U22))*100</f>
        <v>22.155688622754493</v>
      </c>
    </row>
    <row r="23" spans="1:27" ht="12.75">
      <c r="A23" s="12" t="s">
        <v>37</v>
      </c>
      <c r="B23" s="48"/>
      <c r="C23" s="39" t="s">
        <v>27</v>
      </c>
      <c r="D23" s="40"/>
      <c r="E23" s="40">
        <v>19</v>
      </c>
      <c r="F23" s="40"/>
      <c r="G23" s="40">
        <f t="shared" si="3"/>
        <v>123.45679012345678</v>
      </c>
      <c r="H23" s="40"/>
      <c r="I23" s="41">
        <v>100</v>
      </c>
      <c r="J23" s="41"/>
      <c r="K23" s="40"/>
      <c r="L23" s="40"/>
      <c r="M23" s="38">
        <v>16</v>
      </c>
      <c r="N23" s="40"/>
      <c r="O23" s="40"/>
      <c r="P23" s="40"/>
      <c r="Q23" s="40"/>
      <c r="R23" s="40"/>
      <c r="S23" s="40"/>
      <c r="T23" s="40"/>
      <c r="U23" s="38">
        <f aca="true" t="shared" si="4" ref="U23:U29">+(M23/100)*MAX(I23,O23)-S23</f>
        <v>16</v>
      </c>
      <c r="V23" s="38"/>
      <c r="W23" s="38">
        <f aca="true" t="shared" si="5" ref="W23:W44">(G23-I23+U23)/G23*100</f>
        <v>31.959999999999994</v>
      </c>
      <c r="X23" s="38"/>
      <c r="Y23" s="38">
        <f>((G23-I23)/((G23-I23)+U23))*100</f>
        <v>59.44931163954943</v>
      </c>
      <c r="Z23" s="38"/>
      <c r="AA23" s="38">
        <f>(U23/((G23-I23)+U23))*100</f>
        <v>40.55068836045057</v>
      </c>
    </row>
    <row r="24" spans="1:27" ht="12.75">
      <c r="A24" s="34" t="s">
        <v>120</v>
      </c>
      <c r="B24" s="50"/>
      <c r="C24" s="36" t="s">
        <v>4</v>
      </c>
      <c r="D24" s="35"/>
      <c r="E24" s="35">
        <v>20</v>
      </c>
      <c r="F24" s="35"/>
      <c r="G24" s="35">
        <f t="shared" si="3"/>
        <v>125</v>
      </c>
      <c r="H24" s="35"/>
      <c r="I24" s="37">
        <v>100</v>
      </c>
      <c r="J24" s="37"/>
      <c r="K24" s="35"/>
      <c r="L24" s="35"/>
      <c r="M24" s="35">
        <v>20</v>
      </c>
      <c r="N24" s="35"/>
      <c r="O24" s="35"/>
      <c r="P24" s="35"/>
      <c r="Q24" s="35"/>
      <c r="R24" s="35"/>
      <c r="S24" s="35"/>
      <c r="T24" s="35"/>
      <c r="U24" s="35">
        <f t="shared" si="4"/>
        <v>20</v>
      </c>
      <c r="V24" s="35"/>
      <c r="W24" s="35">
        <f t="shared" si="5"/>
        <v>36</v>
      </c>
      <c r="X24" s="35"/>
      <c r="Y24" s="35">
        <f>((G24-I24)/((G24-I24)+U24))*100</f>
        <v>55.55555555555556</v>
      </c>
      <c r="Z24" s="35"/>
      <c r="AA24" s="35">
        <f>(U24/((G24-I24)+U24))*100</f>
        <v>44.44444444444444</v>
      </c>
    </row>
    <row r="25" spans="1:27" ht="12.75">
      <c r="A25" s="42" t="s">
        <v>12</v>
      </c>
      <c r="B25" s="49"/>
      <c r="C25" s="39" t="s">
        <v>4</v>
      </c>
      <c r="D25" s="40"/>
      <c r="E25" s="40">
        <v>12.5</v>
      </c>
      <c r="F25" s="40"/>
      <c r="G25" s="40">
        <f t="shared" si="3"/>
        <v>114.28571428571429</v>
      </c>
      <c r="H25" s="40"/>
      <c r="I25" s="41">
        <v>100</v>
      </c>
      <c r="J25" s="41"/>
      <c r="K25" s="40"/>
      <c r="L25" s="40"/>
      <c r="M25" s="38">
        <v>48</v>
      </c>
      <c r="N25" s="40"/>
      <c r="O25" s="40"/>
      <c r="P25" s="40"/>
      <c r="Q25" s="40"/>
      <c r="R25" s="40"/>
      <c r="S25" s="40"/>
      <c r="T25" s="40"/>
      <c r="U25" s="38">
        <f t="shared" si="4"/>
        <v>48</v>
      </c>
      <c r="V25" s="38"/>
      <c r="W25" s="38">
        <f t="shared" si="5"/>
        <v>54.50000000000001</v>
      </c>
      <c r="X25" s="38"/>
      <c r="Y25" s="38">
        <f t="shared" si="1"/>
        <v>22.93577981651377</v>
      </c>
      <c r="Z25" s="38"/>
      <c r="AA25" s="38">
        <f t="shared" si="2"/>
        <v>77.06422018348623</v>
      </c>
    </row>
    <row r="26" spans="1:27" ht="12.75">
      <c r="A26" s="42" t="s">
        <v>43</v>
      </c>
      <c r="B26" s="49"/>
      <c r="C26" s="39" t="s">
        <v>29</v>
      </c>
      <c r="D26" s="40"/>
      <c r="E26" s="40">
        <v>25</v>
      </c>
      <c r="F26" s="40"/>
      <c r="G26" s="40">
        <f t="shared" si="0"/>
        <v>133.33333333333334</v>
      </c>
      <c r="H26" s="40"/>
      <c r="I26" s="41">
        <v>100</v>
      </c>
      <c r="J26" s="41"/>
      <c r="K26" s="40"/>
      <c r="L26" s="40"/>
      <c r="M26" s="38">
        <v>30</v>
      </c>
      <c r="N26" s="40"/>
      <c r="O26" s="40"/>
      <c r="P26" s="40"/>
      <c r="Q26" s="40"/>
      <c r="R26" s="40"/>
      <c r="S26" s="40"/>
      <c r="T26" s="40"/>
      <c r="U26" s="38">
        <f t="shared" si="4"/>
        <v>30</v>
      </c>
      <c r="V26" s="38"/>
      <c r="W26" s="38">
        <f t="shared" si="5"/>
        <v>47.5</v>
      </c>
      <c r="X26" s="38"/>
      <c r="Y26" s="38">
        <f t="shared" si="1"/>
        <v>52.63157894736843</v>
      </c>
      <c r="Z26" s="38"/>
      <c r="AA26" s="38">
        <f t="shared" si="2"/>
        <v>47.36842105263157</v>
      </c>
    </row>
    <row r="27" spans="1:27" ht="12.75">
      <c r="A27" s="42" t="s">
        <v>121</v>
      </c>
      <c r="B27" s="49"/>
      <c r="C27" s="39" t="s">
        <v>38</v>
      </c>
      <c r="D27" s="40"/>
      <c r="E27" s="40">
        <v>27.5</v>
      </c>
      <c r="F27" s="40"/>
      <c r="G27" s="40">
        <f t="shared" si="0"/>
        <v>137.93103448275863</v>
      </c>
      <c r="H27" s="40"/>
      <c r="I27" s="41">
        <v>100</v>
      </c>
      <c r="J27" s="41"/>
      <c r="K27" s="40">
        <v>20</v>
      </c>
      <c r="L27" s="40"/>
      <c r="M27" s="38">
        <v>20</v>
      </c>
      <c r="N27" s="40"/>
      <c r="O27" s="40"/>
      <c r="P27" s="40"/>
      <c r="Q27" s="40"/>
      <c r="R27" s="40"/>
      <c r="S27" s="40"/>
      <c r="T27" s="40"/>
      <c r="U27" s="38">
        <f t="shared" si="4"/>
        <v>20</v>
      </c>
      <c r="V27" s="38"/>
      <c r="W27" s="38">
        <f t="shared" si="5"/>
        <v>42.00000000000001</v>
      </c>
      <c r="X27" s="38"/>
      <c r="Y27" s="38">
        <f t="shared" si="1"/>
        <v>65.47619047619048</v>
      </c>
      <c r="Z27" s="38"/>
      <c r="AA27" s="38">
        <f t="shared" si="2"/>
        <v>34.52380952380952</v>
      </c>
    </row>
    <row r="28" spans="1:27" s="47" customFormat="1" ht="13.5" customHeight="1">
      <c r="A28" s="42" t="s">
        <v>122</v>
      </c>
      <c r="B28" s="49"/>
      <c r="C28" s="39" t="s">
        <v>29</v>
      </c>
      <c r="D28" s="40"/>
      <c r="E28" s="40">
        <v>36.99</v>
      </c>
      <c r="F28" s="40"/>
      <c r="G28" s="40">
        <f>100/(1-E28/100)</f>
        <v>158.70496746548167</v>
      </c>
      <c r="H28" s="40"/>
      <c r="I28" s="41">
        <v>100</v>
      </c>
      <c r="J28" s="41"/>
      <c r="K28" s="40">
        <v>10</v>
      </c>
      <c r="L28" s="40"/>
      <c r="M28" s="38">
        <v>10</v>
      </c>
      <c r="N28" s="40"/>
      <c r="O28" s="40"/>
      <c r="P28" s="40"/>
      <c r="Q28" s="40"/>
      <c r="R28" s="40"/>
      <c r="S28" s="40"/>
      <c r="T28" s="40"/>
      <c r="U28" s="38">
        <f t="shared" si="4"/>
        <v>10</v>
      </c>
      <c r="V28" s="38"/>
      <c r="W28" s="38">
        <f t="shared" si="5"/>
        <v>43.291000000000004</v>
      </c>
      <c r="X28" s="38"/>
      <c r="Y28" s="38">
        <f t="shared" si="1"/>
        <v>85.4450116652422</v>
      </c>
      <c r="Z28" s="38"/>
      <c r="AA28" s="38">
        <f t="shared" si="2"/>
        <v>14.554988334757802</v>
      </c>
    </row>
    <row r="29" spans="1:27" ht="12.75">
      <c r="A29" s="42" t="s">
        <v>15</v>
      </c>
      <c r="B29" s="49"/>
      <c r="C29" s="39" t="s">
        <v>6</v>
      </c>
      <c r="D29" s="40"/>
      <c r="E29" s="40">
        <v>24.2</v>
      </c>
      <c r="F29" s="40"/>
      <c r="G29" s="40">
        <f>100/(1-E29/100)</f>
        <v>131.92612137203167</v>
      </c>
      <c r="H29" s="40"/>
      <c r="I29" s="41">
        <v>100</v>
      </c>
      <c r="J29" s="41"/>
      <c r="K29" s="40"/>
      <c r="L29" s="40"/>
      <c r="M29" s="38">
        <v>41.8</v>
      </c>
      <c r="N29" s="40"/>
      <c r="O29" s="40">
        <v>111</v>
      </c>
      <c r="P29" s="40"/>
      <c r="Q29" s="40">
        <f>(O29-100)/O29*100</f>
        <v>9.90990990990991</v>
      </c>
      <c r="R29" s="40"/>
      <c r="S29" s="40">
        <f>+O29*Q29/100</f>
        <v>11</v>
      </c>
      <c r="T29" s="40"/>
      <c r="U29" s="38">
        <f t="shared" si="4"/>
        <v>35.397999999999996</v>
      </c>
      <c r="V29" s="38"/>
      <c r="W29" s="38">
        <f t="shared" si="5"/>
        <v>51.031684</v>
      </c>
      <c r="X29" s="38"/>
      <c r="Y29" s="38">
        <f t="shared" si="1"/>
        <v>47.421519540683796</v>
      </c>
      <c r="Z29" s="38"/>
      <c r="AA29" s="38">
        <f t="shared" si="2"/>
        <v>52.578480459316204</v>
      </c>
    </row>
    <row r="30" spans="1:27" ht="12.75">
      <c r="A30" s="42" t="s">
        <v>16</v>
      </c>
      <c r="B30" s="49"/>
      <c r="C30" s="39" t="s">
        <v>25</v>
      </c>
      <c r="D30" s="40"/>
      <c r="E30" s="40">
        <v>29.22</v>
      </c>
      <c r="F30" s="40"/>
      <c r="G30" s="40">
        <f>100/(1-E30/100)</f>
        <v>141.28284826222097</v>
      </c>
      <c r="H30" s="40"/>
      <c r="I30" s="41">
        <v>100</v>
      </c>
      <c r="J30" s="41"/>
      <c r="K30" s="40"/>
      <c r="L30" s="40"/>
      <c r="M30" s="38">
        <v>40</v>
      </c>
      <c r="N30" s="40"/>
      <c r="O30" s="40"/>
      <c r="P30" s="40"/>
      <c r="Q30" s="40"/>
      <c r="R30" s="40"/>
      <c r="S30" s="40"/>
      <c r="T30" s="40"/>
      <c r="U30" s="38">
        <f>I30/2*M30/100</f>
        <v>20</v>
      </c>
      <c r="V30" s="38"/>
      <c r="W30" s="38">
        <f t="shared" si="5"/>
        <v>43.376</v>
      </c>
      <c r="X30" s="38"/>
      <c r="Y30" s="38">
        <f t="shared" si="1"/>
        <v>67.36444116562154</v>
      </c>
      <c r="Z30" s="38"/>
      <c r="AA30" s="38">
        <f t="shared" si="2"/>
        <v>32.63555883437846</v>
      </c>
    </row>
    <row r="31" spans="1:27" ht="12.75">
      <c r="A31" s="42" t="s">
        <v>35</v>
      </c>
      <c r="B31" s="49"/>
      <c r="C31" s="39" t="s">
        <v>2</v>
      </c>
      <c r="D31" s="40"/>
      <c r="E31" s="40">
        <v>30</v>
      </c>
      <c r="F31" s="40"/>
      <c r="G31" s="40">
        <f t="shared" si="0"/>
        <v>142.85714285714286</v>
      </c>
      <c r="H31" s="40"/>
      <c r="I31" s="41">
        <v>100</v>
      </c>
      <c r="J31" s="41"/>
      <c r="K31" s="40"/>
      <c r="L31" s="40"/>
      <c r="M31" s="38">
        <v>30</v>
      </c>
      <c r="N31" s="40"/>
      <c r="O31" s="40">
        <f>100/(1-M31/100)</f>
        <v>142.85714285714286</v>
      </c>
      <c r="P31" s="40"/>
      <c r="Q31" s="40">
        <f>+((G31-100)/G31)*100</f>
        <v>30.000000000000004</v>
      </c>
      <c r="R31" s="40"/>
      <c r="S31" s="40">
        <f>I31*(Q31/(100-Q31))</f>
        <v>42.85714285714286</v>
      </c>
      <c r="T31" s="40"/>
      <c r="U31" s="38">
        <f>((Q31/100)*O31)-S31</f>
        <v>0</v>
      </c>
      <c r="V31" s="38"/>
      <c r="W31" s="38">
        <f t="shared" si="5"/>
        <v>30.000000000000004</v>
      </c>
      <c r="X31" s="38"/>
      <c r="Y31" s="38">
        <f t="shared" si="1"/>
        <v>100</v>
      </c>
      <c r="Z31" s="38"/>
      <c r="AA31" s="38">
        <f t="shared" si="2"/>
        <v>0</v>
      </c>
    </row>
    <row r="32" spans="1:27" ht="12.75">
      <c r="A32" s="42" t="s">
        <v>123</v>
      </c>
      <c r="B32" s="49"/>
      <c r="C32" s="39" t="s">
        <v>4</v>
      </c>
      <c r="D32" s="40"/>
      <c r="E32" s="40">
        <v>25</v>
      </c>
      <c r="F32" s="40"/>
      <c r="G32" s="40">
        <f t="shared" si="0"/>
        <v>133.33333333333334</v>
      </c>
      <c r="H32" s="40"/>
      <c r="I32" s="41">
        <v>100</v>
      </c>
      <c r="J32" s="41"/>
      <c r="K32" s="40"/>
      <c r="L32" s="40"/>
      <c r="M32" s="38">
        <v>25</v>
      </c>
      <c r="N32" s="40"/>
      <c r="O32" s="40"/>
      <c r="P32" s="40"/>
      <c r="Q32" s="40"/>
      <c r="R32" s="40"/>
      <c r="S32" s="40"/>
      <c r="T32" s="40"/>
      <c r="U32" s="38">
        <f>+(M32/100)*MAX(I32,O32)-S32</f>
        <v>25</v>
      </c>
      <c r="V32" s="38"/>
      <c r="W32" s="38">
        <f t="shared" si="5"/>
        <v>43.75000000000001</v>
      </c>
      <c r="X32" s="38"/>
      <c r="Y32" s="38">
        <f t="shared" si="1"/>
        <v>57.14285714285715</v>
      </c>
      <c r="Z32" s="38"/>
      <c r="AA32" s="38">
        <f t="shared" si="2"/>
        <v>42.85714285714285</v>
      </c>
    </row>
    <row r="33" spans="1:27" ht="12.75">
      <c r="A33" s="42" t="s">
        <v>124</v>
      </c>
      <c r="B33" s="49"/>
      <c r="C33" s="39" t="s">
        <v>2</v>
      </c>
      <c r="D33" s="40"/>
      <c r="E33" s="40">
        <v>28</v>
      </c>
      <c r="F33" s="40"/>
      <c r="G33" s="40">
        <f t="shared" si="0"/>
        <v>138.88888888888889</v>
      </c>
      <c r="H33" s="40"/>
      <c r="I33" s="41">
        <v>100</v>
      </c>
      <c r="J33" s="41"/>
      <c r="K33" s="40"/>
      <c r="L33" s="40"/>
      <c r="M33" s="38">
        <v>33</v>
      </c>
      <c r="N33" s="40"/>
      <c r="O33" s="40">
        <f>I33/(1-E33/100)</f>
        <v>138.88888888888889</v>
      </c>
      <c r="P33" s="40"/>
      <c r="Q33" s="40">
        <f>(O33-100)/O33*100</f>
        <v>27.999999999999996</v>
      </c>
      <c r="R33" s="40"/>
      <c r="S33" s="40">
        <f>+I33*(Q33/(100-Q33))</f>
        <v>38.888888888888886</v>
      </c>
      <c r="T33" s="40"/>
      <c r="U33" s="38">
        <f>+(M33/100)*MAX(I33,O33)-S33</f>
        <v>6.94444444444445</v>
      </c>
      <c r="V33" s="38"/>
      <c r="W33" s="38">
        <f t="shared" si="5"/>
        <v>33</v>
      </c>
      <c r="X33" s="38"/>
      <c r="Y33" s="38">
        <f>((G33-I33)/((G33-I33)+U33))*100</f>
        <v>84.84848484848484</v>
      </c>
      <c r="Z33" s="38"/>
      <c r="AA33" s="38">
        <f>(U33/((G33-I33)+U33))*100</f>
        <v>15.151515151515163</v>
      </c>
    </row>
    <row r="34" spans="1:27" ht="12.75">
      <c r="A34" s="42" t="s">
        <v>125</v>
      </c>
      <c r="B34" s="49"/>
      <c r="C34" s="39" t="s">
        <v>27</v>
      </c>
      <c r="D34" s="40"/>
      <c r="E34" s="40">
        <v>28</v>
      </c>
      <c r="F34" s="40"/>
      <c r="G34" s="40">
        <f t="shared" si="0"/>
        <v>138.88888888888889</v>
      </c>
      <c r="H34" s="40"/>
      <c r="I34" s="41">
        <v>100</v>
      </c>
      <c r="J34" s="41"/>
      <c r="K34" s="40"/>
      <c r="L34" s="40"/>
      <c r="M34" s="38">
        <v>28</v>
      </c>
      <c r="N34" s="40"/>
      <c r="O34" s="40"/>
      <c r="P34" s="40"/>
      <c r="Q34" s="40"/>
      <c r="R34" s="40"/>
      <c r="S34" s="40"/>
      <c r="T34" s="40"/>
      <c r="U34" s="38">
        <f aca="true" t="shared" si="6" ref="U34:U41">+(M34/100)*MAX(I34,O34)-S34</f>
        <v>28.000000000000004</v>
      </c>
      <c r="V34" s="38"/>
      <c r="W34" s="38">
        <f t="shared" si="5"/>
        <v>48.16</v>
      </c>
      <c r="X34" s="38"/>
      <c r="Y34" s="38">
        <f t="shared" si="1"/>
        <v>58.139534883720934</v>
      </c>
      <c r="Z34" s="38"/>
      <c r="AA34" s="38">
        <f t="shared" si="2"/>
        <v>41.86046511627908</v>
      </c>
    </row>
    <row r="35" spans="1:27" ht="12.75">
      <c r="A35" s="42" t="s">
        <v>36</v>
      </c>
      <c r="B35" s="49"/>
      <c r="C35" s="39" t="s">
        <v>29</v>
      </c>
      <c r="D35" s="40"/>
      <c r="E35" s="40">
        <v>19</v>
      </c>
      <c r="F35" s="40"/>
      <c r="G35" s="40">
        <f t="shared" si="0"/>
        <v>123.45679012345678</v>
      </c>
      <c r="H35" s="40"/>
      <c r="I35" s="41">
        <v>100</v>
      </c>
      <c r="J35" s="41"/>
      <c r="K35" s="40">
        <v>19</v>
      </c>
      <c r="L35" s="40">
        <v>15</v>
      </c>
      <c r="M35" s="38">
        <v>19</v>
      </c>
      <c r="N35" s="40"/>
      <c r="O35" s="40"/>
      <c r="P35" s="40"/>
      <c r="Q35" s="40"/>
      <c r="R35" s="40"/>
      <c r="S35" s="40"/>
      <c r="T35" s="40"/>
      <c r="U35" s="38">
        <f t="shared" si="6"/>
        <v>19</v>
      </c>
      <c r="V35" s="38"/>
      <c r="W35" s="38">
        <f t="shared" si="5"/>
        <v>34.39</v>
      </c>
      <c r="X35" s="38"/>
      <c r="Y35" s="38">
        <f t="shared" si="1"/>
        <v>55.24861878453038</v>
      </c>
      <c r="Z35" s="38"/>
      <c r="AA35" s="38">
        <f t="shared" si="2"/>
        <v>44.75138121546962</v>
      </c>
    </row>
    <row r="36" spans="1:27" ht="12.75">
      <c r="A36" s="42" t="s">
        <v>126</v>
      </c>
      <c r="B36" s="49"/>
      <c r="C36" s="39" t="s">
        <v>29</v>
      </c>
      <c r="D36" s="40"/>
      <c r="E36" s="40">
        <v>31.5</v>
      </c>
      <c r="F36" s="40"/>
      <c r="G36" s="40">
        <f t="shared" si="0"/>
        <v>145.985401459854</v>
      </c>
      <c r="H36" s="40"/>
      <c r="I36" s="41">
        <v>100</v>
      </c>
      <c r="J36" s="41"/>
      <c r="K36" s="40">
        <v>28</v>
      </c>
      <c r="L36" s="40"/>
      <c r="M36" s="38">
        <v>28</v>
      </c>
      <c r="N36" s="40"/>
      <c r="O36" s="40"/>
      <c r="P36" s="40"/>
      <c r="Q36" s="40"/>
      <c r="R36" s="40"/>
      <c r="S36" s="40"/>
      <c r="T36" s="40"/>
      <c r="U36" s="38">
        <f t="shared" si="6"/>
        <v>28.000000000000004</v>
      </c>
      <c r="V36" s="38"/>
      <c r="W36" s="38">
        <f t="shared" si="5"/>
        <v>50.67999999999999</v>
      </c>
      <c r="X36" s="38"/>
      <c r="Y36" s="38">
        <f t="shared" si="1"/>
        <v>62.154696132596676</v>
      </c>
      <c r="Z36" s="38"/>
      <c r="AA36" s="38">
        <f t="shared" si="2"/>
        <v>37.84530386740334</v>
      </c>
    </row>
    <row r="37" spans="1:27" ht="12.75">
      <c r="A37" s="34" t="s">
        <v>21</v>
      </c>
      <c r="B37" s="50"/>
      <c r="C37" s="36" t="s">
        <v>30</v>
      </c>
      <c r="D37" s="35"/>
      <c r="E37" s="35">
        <v>23</v>
      </c>
      <c r="F37" s="35"/>
      <c r="G37" s="35">
        <f t="shared" si="0"/>
        <v>129.87012987012986</v>
      </c>
      <c r="H37" s="35"/>
      <c r="I37" s="41">
        <v>100</v>
      </c>
      <c r="J37" s="37"/>
      <c r="K37" s="35"/>
      <c r="L37" s="35"/>
      <c r="M37" s="35">
        <v>0</v>
      </c>
      <c r="N37" s="35"/>
      <c r="O37" s="35"/>
      <c r="P37" s="35"/>
      <c r="Q37" s="35"/>
      <c r="R37" s="35"/>
      <c r="S37" s="35"/>
      <c r="T37" s="35"/>
      <c r="U37" s="38">
        <f t="shared" si="6"/>
        <v>0</v>
      </c>
      <c r="V37" s="38"/>
      <c r="W37" s="38">
        <f t="shared" si="5"/>
        <v>22.999999999999993</v>
      </c>
      <c r="X37" s="38"/>
      <c r="Y37" s="38">
        <f t="shared" si="1"/>
        <v>100</v>
      </c>
      <c r="Z37" s="38"/>
      <c r="AA37" s="38">
        <f t="shared" si="2"/>
        <v>0</v>
      </c>
    </row>
    <row r="38" spans="1:27" ht="12.75">
      <c r="A38" s="42" t="s">
        <v>42</v>
      </c>
      <c r="B38" s="49"/>
      <c r="C38" s="39" t="s">
        <v>4</v>
      </c>
      <c r="D38" s="40"/>
      <c r="E38" s="40">
        <v>17</v>
      </c>
      <c r="F38" s="40"/>
      <c r="G38" s="40">
        <f>100/(100-E38)*100</f>
        <v>120.48192771084338</v>
      </c>
      <c r="H38" s="40"/>
      <c r="I38" s="41">
        <v>100</v>
      </c>
      <c r="J38" s="41"/>
      <c r="K38" s="40">
        <v>25</v>
      </c>
      <c r="L38" s="40"/>
      <c r="M38" s="38">
        <v>25</v>
      </c>
      <c r="N38" s="40"/>
      <c r="O38" s="40"/>
      <c r="P38" s="40"/>
      <c r="Q38" s="40"/>
      <c r="R38" s="40"/>
      <c r="S38" s="40"/>
      <c r="T38" s="40"/>
      <c r="U38" s="38">
        <f t="shared" si="6"/>
        <v>25</v>
      </c>
      <c r="V38" s="38"/>
      <c r="W38" s="38">
        <f t="shared" si="5"/>
        <v>37.75000000000001</v>
      </c>
      <c r="X38" s="38"/>
      <c r="Y38" s="38">
        <f>((G38-I38)/((G38-I38)+U38))*100</f>
        <v>45.03311258278146</v>
      </c>
      <c r="Z38" s="38"/>
      <c r="AA38" s="38">
        <f t="shared" si="2"/>
        <v>54.96688741721854</v>
      </c>
    </row>
    <row r="39" spans="1:27" ht="12.75">
      <c r="A39" s="42" t="s">
        <v>127</v>
      </c>
      <c r="B39" s="49"/>
      <c r="C39" s="39" t="s">
        <v>29</v>
      </c>
      <c r="D39" s="40"/>
      <c r="E39" s="40">
        <v>30</v>
      </c>
      <c r="F39" s="40"/>
      <c r="G39" s="40">
        <f>100/(1-E39/100)</f>
        <v>142.85714285714286</v>
      </c>
      <c r="H39" s="40"/>
      <c r="I39" s="41">
        <v>100</v>
      </c>
      <c r="J39" s="41"/>
      <c r="K39" s="40"/>
      <c r="L39" s="40"/>
      <c r="M39" s="38">
        <v>27</v>
      </c>
      <c r="N39" s="40"/>
      <c r="O39" s="40"/>
      <c r="P39" s="40"/>
      <c r="Q39" s="40"/>
      <c r="R39" s="40"/>
      <c r="S39" s="40"/>
      <c r="T39" s="40"/>
      <c r="U39" s="38">
        <f>+(M39/100)*MAX(I39,O39)-S39</f>
        <v>27</v>
      </c>
      <c r="V39" s="38"/>
      <c r="W39" s="38">
        <f t="shared" si="5"/>
        <v>48.9</v>
      </c>
      <c r="X39" s="38"/>
      <c r="Y39" s="38">
        <f t="shared" si="1"/>
        <v>61.34969325153374</v>
      </c>
      <c r="Z39" s="38"/>
      <c r="AA39" s="38">
        <f t="shared" si="2"/>
        <v>38.65030674846626</v>
      </c>
    </row>
    <row r="40" spans="1:27" ht="12.75">
      <c r="A40" s="42" t="s">
        <v>23</v>
      </c>
      <c r="B40" s="49"/>
      <c r="C40" s="39" t="s">
        <v>4</v>
      </c>
      <c r="D40" s="40"/>
      <c r="E40" s="40">
        <v>22</v>
      </c>
      <c r="F40" s="40"/>
      <c r="G40" s="40">
        <f>100/(1-E40/100)</f>
        <v>128.2051282051282</v>
      </c>
      <c r="H40" s="40"/>
      <c r="I40" s="41">
        <v>100</v>
      </c>
      <c r="J40" s="41"/>
      <c r="K40" s="40"/>
      <c r="L40" s="40"/>
      <c r="M40" s="38">
        <v>30</v>
      </c>
      <c r="N40" s="40"/>
      <c r="O40" s="40"/>
      <c r="P40" s="40"/>
      <c r="Q40" s="40"/>
      <c r="R40" s="40"/>
      <c r="S40" s="40"/>
      <c r="T40" s="40"/>
      <c r="U40" s="38">
        <f>+(M40/100)*MAX(I40,O40)-S40</f>
        <v>30</v>
      </c>
      <c r="V40" s="38"/>
      <c r="W40" s="38">
        <f t="shared" si="5"/>
        <v>45.4</v>
      </c>
      <c r="X40" s="38"/>
      <c r="Y40" s="38">
        <f t="shared" si="1"/>
        <v>48.458149779735685</v>
      </c>
      <c r="Z40" s="38"/>
      <c r="AA40" s="38">
        <f t="shared" si="2"/>
        <v>51.541850220264315</v>
      </c>
    </row>
    <row r="41" spans="1:27" ht="16.5">
      <c r="A41" s="42" t="s">
        <v>128</v>
      </c>
      <c r="B41" s="49"/>
      <c r="C41" s="39" t="s">
        <v>29</v>
      </c>
      <c r="D41" s="40"/>
      <c r="E41" s="40">
        <v>21.148581305274845</v>
      </c>
      <c r="F41" s="40"/>
      <c r="G41" s="40">
        <f t="shared" si="0"/>
        <v>126.8208</v>
      </c>
      <c r="H41" s="40"/>
      <c r="I41" s="41">
        <v>100</v>
      </c>
      <c r="J41" s="41"/>
      <c r="K41" s="40"/>
      <c r="L41" s="40"/>
      <c r="M41" s="38">
        <f>(13*0.5)*(1+1.19)+(11.5*0.5)</f>
        <v>19.985</v>
      </c>
      <c r="N41" s="40"/>
      <c r="O41" s="40"/>
      <c r="P41" s="40"/>
      <c r="Q41" s="40"/>
      <c r="R41" s="40"/>
      <c r="S41" s="40"/>
      <c r="T41" s="40"/>
      <c r="U41" s="38">
        <f t="shared" si="6"/>
        <v>19.985</v>
      </c>
      <c r="V41" s="38"/>
      <c r="W41" s="38">
        <f t="shared" si="5"/>
        <v>36.90703733141567</v>
      </c>
      <c r="X41" s="38"/>
      <c r="Y41" s="38">
        <f t="shared" si="1"/>
        <v>57.302300142290065</v>
      </c>
      <c r="Z41" s="38"/>
      <c r="AA41" s="38">
        <f t="shared" si="2"/>
        <v>42.697699857709935</v>
      </c>
    </row>
    <row r="42" spans="1:27" ht="16.5">
      <c r="A42" s="42" t="s">
        <v>24</v>
      </c>
      <c r="B42" s="49"/>
      <c r="C42" s="39" t="s">
        <v>25</v>
      </c>
      <c r="D42" s="40"/>
      <c r="E42" s="40">
        <v>20</v>
      </c>
      <c r="F42" s="40"/>
      <c r="G42" s="40">
        <f t="shared" si="0"/>
        <v>125</v>
      </c>
      <c r="H42" s="40"/>
      <c r="I42" s="41">
        <v>100</v>
      </c>
      <c r="J42" s="41"/>
      <c r="K42" s="40"/>
      <c r="L42" s="40"/>
      <c r="M42" s="38">
        <v>35</v>
      </c>
      <c r="N42" s="40"/>
      <c r="O42" s="40"/>
      <c r="P42" s="40"/>
      <c r="Q42" s="40"/>
      <c r="R42" s="40"/>
      <c r="S42" s="40"/>
      <c r="T42" s="40"/>
      <c r="U42" s="38">
        <f>(I42/2*M42/100)-(I42*15/100)+(I42*15/100)</f>
        <v>17.5</v>
      </c>
      <c r="V42" s="38"/>
      <c r="W42" s="38">
        <f t="shared" si="5"/>
        <v>34</v>
      </c>
      <c r="X42" s="38"/>
      <c r="Y42" s="38">
        <f t="shared" si="1"/>
        <v>58.82352941176471</v>
      </c>
      <c r="Z42" s="38" t="e">
        <f>(H42-J42)/(H42-J42+L42+V42)*100</f>
        <v>#DIV/0!</v>
      </c>
      <c r="AA42" s="38">
        <f t="shared" si="2"/>
        <v>41.17647058823529</v>
      </c>
    </row>
    <row r="43" spans="1:27" ht="16.5">
      <c r="A43" s="42" t="s">
        <v>129</v>
      </c>
      <c r="B43" s="49"/>
      <c r="C43" s="45" t="s">
        <v>6</v>
      </c>
      <c r="D43" s="46"/>
      <c r="E43" s="40">
        <v>23</v>
      </c>
      <c r="F43" s="40"/>
      <c r="G43" s="40">
        <f t="shared" si="0"/>
        <v>129.87012987012986</v>
      </c>
      <c r="H43" s="40"/>
      <c r="I43" s="41">
        <v>100</v>
      </c>
      <c r="J43" s="41"/>
      <c r="K43" s="40"/>
      <c r="L43" s="40"/>
      <c r="M43" s="38">
        <v>37.5</v>
      </c>
      <c r="N43" s="40"/>
      <c r="O43" s="40">
        <v>111.11</v>
      </c>
      <c r="P43" s="40"/>
      <c r="Q43" s="40">
        <f>(O43-100)/O43*100</f>
        <v>9.99909999099991</v>
      </c>
      <c r="R43" s="40"/>
      <c r="S43" s="40">
        <f>+I43*(Q43/(100-Q43))</f>
        <v>11.110000000000001</v>
      </c>
      <c r="T43" s="40"/>
      <c r="U43" s="38">
        <f>+(M43/100)*MAX(I43,O43)-S43</f>
        <v>30.55625</v>
      </c>
      <c r="V43" s="38"/>
      <c r="W43" s="38">
        <f t="shared" si="5"/>
        <v>46.5283125</v>
      </c>
      <c r="X43" s="38"/>
      <c r="Y43" s="38">
        <f>((G43-I43)/((G43-I43)+U43))*100</f>
        <v>49.432267718714265</v>
      </c>
      <c r="Z43" s="38"/>
      <c r="AA43" s="38">
        <f>(U43/((G43-I43)+U43))*100</f>
        <v>50.56773228128573</v>
      </c>
    </row>
    <row r="44" spans="1:27" ht="16.5">
      <c r="A44" s="42" t="s">
        <v>130</v>
      </c>
      <c r="B44" s="49"/>
      <c r="C44" s="39" t="s">
        <v>29</v>
      </c>
      <c r="D44" s="40"/>
      <c r="E44" s="40">
        <v>39.094</v>
      </c>
      <c r="F44" s="40"/>
      <c r="G44" s="40">
        <f t="shared" si="0"/>
        <v>164.1874363773684</v>
      </c>
      <c r="H44" s="40"/>
      <c r="I44" s="41">
        <v>100</v>
      </c>
      <c r="J44" s="41"/>
      <c r="K44" s="40"/>
      <c r="L44" s="40"/>
      <c r="M44" s="38">
        <v>30.34</v>
      </c>
      <c r="N44" s="40"/>
      <c r="O44" s="40"/>
      <c r="P44" s="40"/>
      <c r="Q44" s="40"/>
      <c r="R44" s="40"/>
      <c r="S44" s="40"/>
      <c r="T44" s="40"/>
      <c r="U44" s="38">
        <f>+(M44/100)*MAX(I44,O44)-S44</f>
        <v>30.34</v>
      </c>
      <c r="V44" s="38"/>
      <c r="W44" s="38">
        <f t="shared" si="5"/>
        <v>57.5728804</v>
      </c>
      <c r="X44" s="38"/>
      <c r="Y44" s="38">
        <f>((G44-I44)/((G44-I44)+U44))*100</f>
        <v>67.90349853678677</v>
      </c>
      <c r="Z44" s="38"/>
      <c r="AA44" s="38">
        <f>(U44/((G44-I44)+U44))*100</f>
        <v>32.09650146321322</v>
      </c>
    </row>
    <row r="45" spans="1:27" ht="15.75" thickBot="1">
      <c r="A45" s="28"/>
      <c r="B45" s="28"/>
      <c r="C45" s="28"/>
      <c r="D45" s="28"/>
      <c r="E45" s="28"/>
      <c r="F45" s="28"/>
      <c r="G45" s="28"/>
      <c r="H45" s="28"/>
      <c r="I45" s="28"/>
      <c r="J45" s="28"/>
      <c r="K45" s="28"/>
      <c r="L45" s="28"/>
      <c r="M45" s="28"/>
      <c r="N45" s="28"/>
      <c r="O45" s="28"/>
      <c r="P45" s="28"/>
      <c r="Q45" s="28"/>
      <c r="R45" s="28"/>
      <c r="S45" s="28"/>
      <c r="T45" s="28"/>
      <c r="U45" s="29"/>
      <c r="V45" s="28"/>
      <c r="W45" s="28"/>
      <c r="X45" s="28"/>
      <c r="Y45" s="28"/>
      <c r="Z45" s="28"/>
      <c r="AA45" s="28"/>
    </row>
  </sheetData>
  <sheetProtection/>
  <mergeCells count="13">
    <mergeCell ref="AA5:AA8"/>
    <mergeCell ref="O5:O8"/>
    <mergeCell ref="Q5:Q8"/>
    <mergeCell ref="S5:S8"/>
    <mergeCell ref="U5:U8"/>
    <mergeCell ref="W5:W8"/>
    <mergeCell ref="Y5:Y8"/>
    <mergeCell ref="M5:M8"/>
    <mergeCell ref="C5:C8"/>
    <mergeCell ref="E5:E8"/>
    <mergeCell ref="G5:G8"/>
    <mergeCell ref="I5:I8"/>
    <mergeCell ref="K5:K8"/>
  </mergeCells>
  <printOptions/>
  <pageMargins left="0.25" right="0.25" top="1" bottom="1" header="0.3" footer="0.3"/>
  <pageSetup fitToHeight="1" fitToWidth="1" horizontalDpi="300" verticalDpi="300" orientation="portrait" paperSize="9" scale="42"/>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A45"/>
  <sheetViews>
    <sheetView showGridLines="0" zoomScaleSheetLayoutView="85" zoomScalePageLayoutView="0" workbookViewId="0" topLeftCell="A1">
      <selection activeCell="A1" sqref="A1:IV65536"/>
    </sheetView>
  </sheetViews>
  <sheetFormatPr defaultColWidth="9.140625" defaultRowHeight="12.75"/>
  <cols>
    <col min="1" max="1" width="16.2812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7.140625" style="2" customWidth="1"/>
    <col min="10" max="10" width="0.85546875" style="2" customWidth="1"/>
    <col min="11" max="11" width="7.710937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421875" style="2" customWidth="1"/>
    <col min="18" max="18" width="0.85546875" style="2" customWidth="1"/>
    <col min="19" max="19" width="12.421875" style="2" customWidth="1"/>
    <col min="20" max="20" width="0.85546875" style="2" customWidth="1"/>
    <col min="21" max="21" width="8.7109375" style="2" customWidth="1"/>
    <col min="22" max="22" width="0.85546875" style="2" customWidth="1"/>
    <col min="23" max="23" width="7.421875" style="2" customWidth="1"/>
    <col min="24" max="24" width="0.9921875" style="2" customWidth="1"/>
    <col min="25" max="25" width="7.7109375" style="2" customWidth="1"/>
    <col min="26" max="26" width="1.28515625" style="2" customWidth="1"/>
    <col min="27" max="27" width="7.8515625" style="2" customWidth="1"/>
    <col min="28" max="16384" width="9.140625" style="2" customWidth="1"/>
  </cols>
  <sheetData>
    <row r="1" spans="1:21" ht="12.75">
      <c r="A1" s="1">
        <v>41680</v>
      </c>
      <c r="C1" s="3"/>
      <c r="U1" s="4"/>
    </row>
    <row r="2" spans="1:27" ht="12.75">
      <c r="A2" s="5" t="s">
        <v>117</v>
      </c>
      <c r="B2" s="6"/>
      <c r="C2" s="6"/>
      <c r="D2" s="6"/>
      <c r="E2" s="6"/>
      <c r="F2" s="6"/>
      <c r="G2" s="6"/>
      <c r="H2" s="6"/>
      <c r="I2" s="6"/>
      <c r="J2" s="6"/>
      <c r="K2" s="6"/>
      <c r="L2" s="6"/>
      <c r="M2" s="6"/>
      <c r="N2" s="6"/>
      <c r="O2" s="6"/>
      <c r="P2" s="6"/>
      <c r="Q2" s="6"/>
      <c r="R2" s="6"/>
      <c r="S2" s="6"/>
      <c r="T2" s="6"/>
      <c r="U2" s="6"/>
      <c r="V2" s="6"/>
      <c r="W2" s="6"/>
      <c r="X2" s="6"/>
      <c r="Y2" s="6"/>
      <c r="Z2" s="6"/>
      <c r="AA2" s="6"/>
    </row>
    <row r="3" spans="1:27" ht="13.5" thickBot="1">
      <c r="A3" s="7"/>
      <c r="B3" s="7"/>
      <c r="C3" s="7"/>
      <c r="D3" s="7"/>
      <c r="E3" s="7"/>
      <c r="F3" s="7"/>
      <c r="G3" s="7"/>
      <c r="H3" s="7"/>
      <c r="I3" s="7"/>
      <c r="J3" s="7"/>
      <c r="K3" s="7"/>
      <c r="L3" s="7"/>
      <c r="M3" s="7"/>
      <c r="N3" s="7"/>
      <c r="O3" s="7"/>
      <c r="P3" s="7"/>
      <c r="Q3" s="7"/>
      <c r="R3" s="7"/>
      <c r="S3" s="7"/>
      <c r="T3" s="7"/>
      <c r="U3" s="7"/>
      <c r="V3" s="7"/>
      <c r="W3" s="7"/>
      <c r="X3" s="7"/>
      <c r="Y3" s="7"/>
      <c r="Z3" s="7"/>
      <c r="AA3" s="7"/>
    </row>
    <row r="4" ht="12.75">
      <c r="U4" s="4"/>
    </row>
    <row r="5" spans="1:27" ht="12.75">
      <c r="A5" s="9"/>
      <c r="B5" s="9"/>
      <c r="C5" s="51" t="s">
        <v>0</v>
      </c>
      <c r="D5" s="10"/>
      <c r="E5" s="51" t="s">
        <v>46</v>
      </c>
      <c r="F5" s="11"/>
      <c r="G5" s="51" t="s">
        <v>47</v>
      </c>
      <c r="H5" s="11"/>
      <c r="I5" s="51" t="s">
        <v>48</v>
      </c>
      <c r="J5" s="10"/>
      <c r="K5" s="51" t="s">
        <v>78</v>
      </c>
      <c r="L5" s="11"/>
      <c r="M5" s="51" t="s">
        <v>50</v>
      </c>
      <c r="N5" s="10"/>
      <c r="O5" s="51" t="s">
        <v>51</v>
      </c>
      <c r="P5" s="11"/>
      <c r="Q5" s="51" t="s">
        <v>52</v>
      </c>
      <c r="R5" s="11"/>
      <c r="S5" s="51" t="s">
        <v>53</v>
      </c>
      <c r="T5" s="11"/>
      <c r="U5" s="51" t="s">
        <v>54</v>
      </c>
      <c r="V5" s="10"/>
      <c r="W5" s="51" t="s">
        <v>55</v>
      </c>
      <c r="X5" s="12"/>
      <c r="Y5" s="51" t="s">
        <v>56</v>
      </c>
      <c r="Z5" s="12"/>
      <c r="AA5" s="51" t="s">
        <v>57</v>
      </c>
    </row>
    <row r="6" spans="1:27" ht="12.75">
      <c r="A6" s="12"/>
      <c r="B6" s="9"/>
      <c r="C6" s="52"/>
      <c r="D6" s="10"/>
      <c r="E6" s="52"/>
      <c r="F6" s="11"/>
      <c r="G6" s="52"/>
      <c r="H6" s="11"/>
      <c r="I6" s="52"/>
      <c r="J6" s="10"/>
      <c r="K6" s="52"/>
      <c r="L6" s="11"/>
      <c r="M6" s="52"/>
      <c r="N6" s="13"/>
      <c r="O6" s="52"/>
      <c r="P6" s="11"/>
      <c r="Q6" s="52"/>
      <c r="R6" s="11"/>
      <c r="S6" s="52"/>
      <c r="T6" s="11"/>
      <c r="U6" s="52"/>
      <c r="V6" s="10"/>
      <c r="W6" s="52"/>
      <c r="X6" s="12"/>
      <c r="Y6" s="52"/>
      <c r="Z6" s="12"/>
      <c r="AA6" s="52"/>
    </row>
    <row r="7" spans="1:27" ht="12.75">
      <c r="A7" s="14"/>
      <c r="B7" s="9"/>
      <c r="C7" s="52"/>
      <c r="D7" s="10"/>
      <c r="E7" s="52"/>
      <c r="F7" s="11"/>
      <c r="G7" s="52"/>
      <c r="H7" s="11"/>
      <c r="I7" s="52"/>
      <c r="J7" s="10"/>
      <c r="K7" s="52"/>
      <c r="L7" s="11"/>
      <c r="M7" s="52"/>
      <c r="N7" s="13"/>
      <c r="O7" s="52"/>
      <c r="P7" s="11"/>
      <c r="Q7" s="52"/>
      <c r="R7" s="11"/>
      <c r="S7" s="52"/>
      <c r="T7" s="11"/>
      <c r="U7" s="52"/>
      <c r="V7" s="10"/>
      <c r="W7" s="52"/>
      <c r="X7" s="12"/>
      <c r="Y7" s="52"/>
      <c r="Z7" s="12"/>
      <c r="AA7" s="52"/>
    </row>
    <row r="8" spans="1:27" ht="12.75">
      <c r="A8" s="14" t="s">
        <v>1</v>
      </c>
      <c r="B8" s="9"/>
      <c r="C8" s="52"/>
      <c r="D8" s="10"/>
      <c r="E8" s="52"/>
      <c r="F8" s="11"/>
      <c r="G8" s="52"/>
      <c r="H8" s="11"/>
      <c r="I8" s="52"/>
      <c r="J8" s="10"/>
      <c r="K8" s="52"/>
      <c r="L8" s="11"/>
      <c r="M8" s="52"/>
      <c r="N8" s="13"/>
      <c r="O8" s="52"/>
      <c r="P8" s="11"/>
      <c r="Q8" s="52"/>
      <c r="R8" s="11"/>
      <c r="S8" s="52"/>
      <c r="T8" s="11"/>
      <c r="U8" s="52"/>
      <c r="V8" s="10"/>
      <c r="W8" s="52"/>
      <c r="X8" s="12"/>
      <c r="Y8" s="52"/>
      <c r="Z8" s="12"/>
      <c r="AA8" s="52"/>
    </row>
    <row r="9" spans="1:27" ht="12.75">
      <c r="A9" s="15"/>
      <c r="B9" s="15"/>
      <c r="C9" s="16"/>
      <c r="D9" s="17"/>
      <c r="E9" s="16"/>
      <c r="F9" s="18"/>
      <c r="G9" s="16"/>
      <c r="H9" s="18"/>
      <c r="I9" s="16"/>
      <c r="J9" s="17"/>
      <c r="K9" s="16"/>
      <c r="L9" s="18"/>
      <c r="M9" s="16"/>
      <c r="N9" s="16"/>
      <c r="O9" s="18"/>
      <c r="P9" s="18"/>
      <c r="Q9" s="18"/>
      <c r="R9" s="18"/>
      <c r="S9" s="18"/>
      <c r="T9" s="18"/>
      <c r="U9" s="15"/>
      <c r="V9" s="17"/>
      <c r="W9" s="16"/>
      <c r="X9" s="16"/>
      <c r="Y9" s="16"/>
      <c r="Z9" s="16"/>
      <c r="AA9" s="16"/>
    </row>
    <row r="10" ht="12.75">
      <c r="U10" s="4"/>
    </row>
    <row r="11" spans="1:27" ht="12.75">
      <c r="A11" s="34" t="s">
        <v>58</v>
      </c>
      <c r="B11" s="35"/>
      <c r="C11" s="36" t="s">
        <v>2</v>
      </c>
      <c r="D11" s="35"/>
      <c r="E11" s="35">
        <v>30</v>
      </c>
      <c r="F11" s="35"/>
      <c r="G11" s="35">
        <v>142.9</v>
      </c>
      <c r="H11" s="35"/>
      <c r="I11" s="37">
        <v>100</v>
      </c>
      <c r="J11" s="37"/>
      <c r="K11" s="35"/>
      <c r="L11" s="35"/>
      <c r="M11" s="35">
        <v>46.5</v>
      </c>
      <c r="N11" s="35"/>
      <c r="O11" s="35">
        <v>142.9</v>
      </c>
      <c r="P11" s="35"/>
      <c r="Q11" s="35">
        <v>30</v>
      </c>
      <c r="R11" s="35"/>
      <c r="S11" s="35">
        <v>42.9</v>
      </c>
      <c r="T11" s="35"/>
      <c r="U11" s="35">
        <v>23.6</v>
      </c>
      <c r="V11" s="35"/>
      <c r="W11" s="38">
        <f>(G11-I11+U11)/G11*100</f>
        <v>46.53603918824353</v>
      </c>
      <c r="X11" s="35"/>
      <c r="Y11" s="35">
        <v>64.5</v>
      </c>
      <c r="Z11" s="35"/>
      <c r="AA11" s="35">
        <f>(U11/((G11-I11)+U11))*100</f>
        <v>35.48872180451128</v>
      </c>
    </row>
    <row r="12" spans="1:27" ht="12.75">
      <c r="A12" s="12" t="s">
        <v>3</v>
      </c>
      <c r="C12" s="39" t="s">
        <v>4</v>
      </c>
      <c r="D12" s="40"/>
      <c r="E12" s="40">
        <v>25</v>
      </c>
      <c r="F12" s="40"/>
      <c r="G12" s="40">
        <v>133.33333333333334</v>
      </c>
      <c r="H12" s="40"/>
      <c r="I12" s="41">
        <v>100</v>
      </c>
      <c r="J12" s="41"/>
      <c r="K12" s="40">
        <v>25</v>
      </c>
      <c r="L12" s="40"/>
      <c r="M12" s="38">
        <v>25</v>
      </c>
      <c r="N12" s="40"/>
      <c r="O12" s="40"/>
      <c r="P12" s="40"/>
      <c r="Q12" s="40"/>
      <c r="R12" s="40"/>
      <c r="S12" s="40"/>
      <c r="T12" s="40"/>
      <c r="U12" s="38">
        <f>+(M12/100)*MAX(I12,O12)-S12</f>
        <v>25</v>
      </c>
      <c r="V12" s="38"/>
      <c r="W12" s="38">
        <f>(G12-I12+U12)/G12*100</f>
        <v>43.75000000000001</v>
      </c>
      <c r="X12" s="38"/>
      <c r="Y12" s="38">
        <f>((G12-I12)/((G12-I12)+U12))*100</f>
        <v>57.14285714285715</v>
      </c>
      <c r="Z12" s="38"/>
      <c r="AA12" s="38">
        <f>(U12/((G12-I12)+U12))*100</f>
        <v>42.85714285714285</v>
      </c>
    </row>
    <row r="13" spans="1:27" ht="12.75">
      <c r="A13" s="12" t="s">
        <v>59</v>
      </c>
      <c r="C13" s="39" t="s">
        <v>4</v>
      </c>
      <c r="D13" s="40"/>
      <c r="E13" s="40">
        <v>33.99</v>
      </c>
      <c r="F13" s="40"/>
      <c r="G13" s="40">
        <v>151.4921981517952</v>
      </c>
      <c r="H13" s="40"/>
      <c r="I13" s="41">
        <v>100</v>
      </c>
      <c r="J13" s="41"/>
      <c r="K13" s="40"/>
      <c r="L13" s="40"/>
      <c r="M13" s="38">
        <v>25</v>
      </c>
      <c r="N13" s="40"/>
      <c r="O13" s="40"/>
      <c r="P13" s="40"/>
      <c r="Q13" s="40"/>
      <c r="R13" s="40"/>
      <c r="S13" s="40"/>
      <c r="T13" s="40"/>
      <c r="U13" s="38">
        <f>+(M13/100)*MAX(I13,O13)-S13</f>
        <v>25</v>
      </c>
      <c r="V13" s="38"/>
      <c r="W13" s="38">
        <f>(G13-I13+U13)/G13*100</f>
        <v>50.49250000000001</v>
      </c>
      <c r="X13" s="38"/>
      <c r="Y13" s="38">
        <f>((G13-I13)/((G13-I13)+U13))*100</f>
        <v>67.31692825667179</v>
      </c>
      <c r="Z13" s="38"/>
      <c r="AA13" s="38">
        <f>(U13/((G13-I13)+U13))*100</f>
        <v>32.683071743328206</v>
      </c>
    </row>
    <row r="14" spans="1:27" ht="12.75">
      <c r="A14" s="42" t="s">
        <v>87</v>
      </c>
      <c r="B14" s="40"/>
      <c r="C14" s="39" t="s">
        <v>2</v>
      </c>
      <c r="D14" s="40"/>
      <c r="E14" s="40">
        <v>26.15</v>
      </c>
      <c r="F14" s="40"/>
      <c r="G14" s="40">
        <v>135.31799729364005</v>
      </c>
      <c r="H14" s="40"/>
      <c r="I14" s="41">
        <v>100</v>
      </c>
      <c r="J14" s="41"/>
      <c r="K14" s="40"/>
      <c r="L14" s="40"/>
      <c r="M14" s="38">
        <v>47.97</v>
      </c>
      <c r="N14" s="40"/>
      <c r="O14" s="40">
        <v>138</v>
      </c>
      <c r="P14" s="40"/>
      <c r="Q14" s="40">
        <v>25.003800000000002</v>
      </c>
      <c r="R14" s="40"/>
      <c r="S14" s="40">
        <v>34.505244000000005</v>
      </c>
      <c r="T14" s="40"/>
      <c r="U14" s="38">
        <f>+(M14/100)*MAX(I14,O14)-S14</f>
        <v>31.693355999999994</v>
      </c>
      <c r="V14" s="38"/>
      <c r="W14" s="38">
        <f>(G14-I14+U14)/G14*100</f>
        <v>49.521390084</v>
      </c>
      <c r="X14" s="38"/>
      <c r="Y14" s="38">
        <f>((G14-I14)/((G14-I14)+U14))*100</f>
        <v>52.704497906315275</v>
      </c>
      <c r="Z14" s="38"/>
      <c r="AA14" s="38">
        <f>(U14/((G14-I14)+U14))*100</f>
        <v>47.295502093684725</v>
      </c>
    </row>
    <row r="15" spans="1:27" ht="12.75">
      <c r="A15" s="12" t="s">
        <v>41</v>
      </c>
      <c r="B15" s="40"/>
      <c r="C15" s="39" t="s">
        <v>2</v>
      </c>
      <c r="D15" s="40"/>
      <c r="E15" s="40">
        <v>20</v>
      </c>
      <c r="F15" s="40"/>
      <c r="G15" s="40">
        <v>125</v>
      </c>
      <c r="H15" s="40"/>
      <c r="I15" s="41">
        <v>100</v>
      </c>
      <c r="J15" s="41"/>
      <c r="K15" s="40"/>
      <c r="L15" s="40"/>
      <c r="M15" s="38">
        <v>40</v>
      </c>
      <c r="N15" s="40"/>
      <c r="O15" s="40">
        <f>+I15/(1-E15/100)</f>
        <v>125</v>
      </c>
      <c r="P15" s="40"/>
      <c r="Q15" s="40">
        <f>+((G15-100)/G15)*100</f>
        <v>20</v>
      </c>
      <c r="R15" s="40"/>
      <c r="S15" s="40">
        <f>+G15*E15/100</f>
        <v>25</v>
      </c>
      <c r="T15" s="40" t="s">
        <v>40</v>
      </c>
      <c r="U15" s="38">
        <f>+(M15/100)*MAX(I15,O15)-S15</f>
        <v>25</v>
      </c>
      <c r="V15" s="38"/>
      <c r="W15" s="38">
        <f>(G15-I15+U15)/G15*100</f>
        <v>40</v>
      </c>
      <c r="X15" s="38"/>
      <c r="Y15" s="38">
        <f>((G15-I15)/((G15-I15)+U15))*100</f>
        <v>50</v>
      </c>
      <c r="Z15" s="38"/>
      <c r="AA15" s="38">
        <f>(U15/((G15-I15)+U15))*100</f>
        <v>50</v>
      </c>
    </row>
    <row r="16" spans="1:27" ht="12.75">
      <c r="A16" s="42" t="s">
        <v>7</v>
      </c>
      <c r="B16" s="40"/>
      <c r="C16" s="39" t="s">
        <v>4</v>
      </c>
      <c r="D16" s="40"/>
      <c r="E16" s="40">
        <v>19</v>
      </c>
      <c r="F16" s="40"/>
      <c r="G16" s="40">
        <v>123.45679012345678</v>
      </c>
      <c r="H16" s="40"/>
      <c r="I16" s="41">
        <v>100</v>
      </c>
      <c r="J16" s="41"/>
      <c r="K16" s="40">
        <v>15</v>
      </c>
      <c r="L16" s="40"/>
      <c r="M16" s="38">
        <v>15</v>
      </c>
      <c r="N16" s="40"/>
      <c r="O16" s="40"/>
      <c r="P16" s="40"/>
      <c r="Q16" s="40"/>
      <c r="R16" s="40"/>
      <c r="S16" s="40"/>
      <c r="T16" s="40"/>
      <c r="U16" s="38">
        <v>15</v>
      </c>
      <c r="V16" s="38"/>
      <c r="W16" s="38">
        <f aca="true" t="shared" si="0" ref="W16:W40">(G16-I16+U16)/G16*100</f>
        <v>31.149999999999995</v>
      </c>
      <c r="X16" s="38"/>
      <c r="Y16" s="38">
        <v>60.9951845906902</v>
      </c>
      <c r="Z16" s="38"/>
      <c r="AA16" s="38">
        <v>39.00481540930979</v>
      </c>
    </row>
    <row r="17" spans="1:27" ht="12.75">
      <c r="A17" s="42" t="s">
        <v>8</v>
      </c>
      <c r="B17" s="40"/>
      <c r="C17" s="39" t="s">
        <v>29</v>
      </c>
      <c r="D17" s="40"/>
      <c r="E17" s="40">
        <v>25</v>
      </c>
      <c r="F17" s="40"/>
      <c r="G17" s="40">
        <f aca="true" t="shared" si="1" ref="G17:G44">100/(1-E17/100)</f>
        <v>133.33333333333334</v>
      </c>
      <c r="H17" s="40"/>
      <c r="I17" s="41">
        <v>100</v>
      </c>
      <c r="J17" s="41"/>
      <c r="K17" s="40"/>
      <c r="L17" s="40"/>
      <c r="M17" s="38">
        <v>42</v>
      </c>
      <c r="N17" s="40"/>
      <c r="O17" s="40"/>
      <c r="P17" s="40"/>
      <c r="Q17" s="40"/>
      <c r="R17" s="40"/>
      <c r="S17" s="40"/>
      <c r="T17" s="40"/>
      <c r="U17" s="38">
        <f>+(M17/100)*MAX(I17,O17)-S17</f>
        <v>42</v>
      </c>
      <c r="V17" s="38"/>
      <c r="W17" s="38">
        <f t="shared" si="0"/>
        <v>56.50000000000001</v>
      </c>
      <c r="X17" s="38"/>
      <c r="Y17" s="38">
        <f aca="true" t="shared" si="2" ref="Y17:Y22">((G17-I17)/((G17-I17)+U17))*100</f>
        <v>44.247787610619476</v>
      </c>
      <c r="Z17" s="38" t="e">
        <f>+T17/(F17-H17+T17)*100</f>
        <v>#DIV/0!</v>
      </c>
      <c r="AA17" s="38">
        <f aca="true" t="shared" si="3" ref="AA17:AA22">(U17/((G17-I17)+U17))*100</f>
        <v>55.75221238938053</v>
      </c>
    </row>
    <row r="18" spans="1:27" ht="12.75">
      <c r="A18" s="34" t="s">
        <v>44</v>
      </c>
      <c r="B18" s="35"/>
      <c r="C18" s="36" t="s">
        <v>30</v>
      </c>
      <c r="D18" s="35"/>
      <c r="E18" s="35">
        <v>21</v>
      </c>
      <c r="F18" s="35"/>
      <c r="G18" s="35">
        <f>100/(1-E18/100)</f>
        <v>126.58227848101265</v>
      </c>
      <c r="H18" s="35"/>
      <c r="I18" s="37">
        <v>100</v>
      </c>
      <c r="J18" s="37"/>
      <c r="K18" s="35" t="s">
        <v>34</v>
      </c>
      <c r="L18" s="35"/>
      <c r="M18" s="43">
        <v>0</v>
      </c>
      <c r="N18" s="35"/>
      <c r="O18" s="35"/>
      <c r="P18" s="35"/>
      <c r="Q18" s="35"/>
      <c r="R18" s="35"/>
      <c r="S18" s="35"/>
      <c r="T18" s="35"/>
      <c r="U18" s="43">
        <f>+(M18/100)*MAX(I18,O18)-S18</f>
        <v>0</v>
      </c>
      <c r="V18" s="43"/>
      <c r="W18" s="43">
        <f>(U18+(G18-I18))/G18*100</f>
        <v>20.999999999999996</v>
      </c>
      <c r="X18" s="43"/>
      <c r="Y18" s="44">
        <f t="shared" si="2"/>
        <v>100</v>
      </c>
      <c r="Z18" s="43"/>
      <c r="AA18" s="43">
        <f t="shared" si="3"/>
        <v>0</v>
      </c>
    </row>
    <row r="19" spans="1:27" ht="12.75">
      <c r="A19" s="12" t="s">
        <v>88</v>
      </c>
      <c r="B19" s="40"/>
      <c r="C19" s="39" t="s">
        <v>25</v>
      </c>
      <c r="D19" s="40"/>
      <c r="E19" s="40">
        <v>24.5</v>
      </c>
      <c r="F19" s="40"/>
      <c r="G19" s="40">
        <v>132.4503311258278</v>
      </c>
      <c r="H19" s="40"/>
      <c r="I19" s="41">
        <v>100</v>
      </c>
      <c r="J19" s="41"/>
      <c r="K19" s="40"/>
      <c r="L19" s="40"/>
      <c r="M19" s="38">
        <v>32</v>
      </c>
      <c r="N19" s="40"/>
      <c r="O19" s="40"/>
      <c r="P19" s="40"/>
      <c r="Q19" s="40"/>
      <c r="R19" s="40"/>
      <c r="S19" s="40"/>
      <c r="T19" s="40"/>
      <c r="U19" s="38">
        <f>I19*0.7*M19/100</f>
        <v>22.4</v>
      </c>
      <c r="V19" s="38"/>
      <c r="W19" s="38">
        <f t="shared" si="0"/>
        <v>41.41199999999999</v>
      </c>
      <c r="X19" s="38"/>
      <c r="Y19" s="38">
        <f t="shared" si="2"/>
        <v>59.16159567275186</v>
      </c>
      <c r="Z19" s="38"/>
      <c r="AA19" s="38">
        <f t="shared" si="3"/>
        <v>40.83840432724815</v>
      </c>
    </row>
    <row r="20" spans="1:27" ht="12.75">
      <c r="A20" s="42" t="s">
        <v>89</v>
      </c>
      <c r="B20" s="40"/>
      <c r="C20" s="39" t="s">
        <v>25</v>
      </c>
      <c r="D20" s="40"/>
      <c r="E20" s="40">
        <v>34.43</v>
      </c>
      <c r="F20" s="40"/>
      <c r="G20" s="40">
        <f>100/(1-E20/100)</f>
        <v>152.50876925423213</v>
      </c>
      <c r="H20" s="40"/>
      <c r="I20" s="41">
        <v>100</v>
      </c>
      <c r="J20" s="41"/>
      <c r="K20" s="40"/>
      <c r="L20" s="40"/>
      <c r="M20" s="38">
        <f>21+13.5+4</f>
        <v>38.5</v>
      </c>
      <c r="N20" s="40"/>
      <c r="O20" s="40"/>
      <c r="P20" s="40"/>
      <c r="Q20" s="40"/>
      <c r="R20" s="40"/>
      <c r="S20" s="40"/>
      <c r="T20" s="40"/>
      <c r="U20" s="38">
        <f>+(M20/100)*MAX(I20,O20)-S20</f>
        <v>38.5</v>
      </c>
      <c r="V20" s="38"/>
      <c r="W20" s="38">
        <f t="shared" si="0"/>
        <v>59.67445</v>
      </c>
      <c r="X20" s="38"/>
      <c r="Y20" s="38">
        <f t="shared" si="2"/>
        <v>57.6963842984728</v>
      </c>
      <c r="Z20" s="38"/>
      <c r="AA20" s="38">
        <f t="shared" si="3"/>
        <v>42.3036157015272</v>
      </c>
    </row>
    <row r="21" spans="1:27" ht="12.75">
      <c r="A21" s="12" t="s">
        <v>9</v>
      </c>
      <c r="B21" s="40"/>
      <c r="C21" s="39" t="s">
        <v>4</v>
      </c>
      <c r="D21" s="40"/>
      <c r="E21" s="40">
        <v>30.175</v>
      </c>
      <c r="F21" s="40"/>
      <c r="G21" s="40">
        <f t="shared" si="1"/>
        <v>143.21518080916576</v>
      </c>
      <c r="H21" s="40"/>
      <c r="I21" s="41">
        <v>100</v>
      </c>
      <c r="J21" s="41"/>
      <c r="K21" s="40">
        <v>26.375</v>
      </c>
      <c r="L21" s="40"/>
      <c r="M21" s="38">
        <v>26.375</v>
      </c>
      <c r="N21" s="40"/>
      <c r="O21" s="40"/>
      <c r="P21" s="40"/>
      <c r="Q21" s="40"/>
      <c r="R21" s="40"/>
      <c r="S21" s="40"/>
      <c r="T21" s="40"/>
      <c r="U21" s="38">
        <v>26.375</v>
      </c>
      <c r="V21" s="38"/>
      <c r="W21" s="38">
        <f t="shared" si="0"/>
        <v>48.59134374999999</v>
      </c>
      <c r="X21" s="38"/>
      <c r="Y21" s="38">
        <f t="shared" si="2"/>
        <v>62.09953804786474</v>
      </c>
      <c r="Z21" s="38"/>
      <c r="AA21" s="38">
        <f t="shared" si="3"/>
        <v>37.90046195213526</v>
      </c>
    </row>
    <row r="22" spans="1:27" ht="12.75">
      <c r="A22" s="34" t="s">
        <v>10</v>
      </c>
      <c r="B22" s="35"/>
      <c r="C22" s="36" t="s">
        <v>4</v>
      </c>
      <c r="D22" s="35"/>
      <c r="E22" s="35">
        <v>20</v>
      </c>
      <c r="F22" s="35"/>
      <c r="G22" s="35">
        <f t="shared" si="1"/>
        <v>125</v>
      </c>
      <c r="H22" s="35"/>
      <c r="I22" s="37">
        <v>100</v>
      </c>
      <c r="J22" s="37"/>
      <c r="K22" s="35">
        <v>25</v>
      </c>
      <c r="L22" s="35"/>
      <c r="M22" s="35">
        <v>25</v>
      </c>
      <c r="N22" s="35"/>
      <c r="O22" s="35"/>
      <c r="P22" s="35"/>
      <c r="Q22" s="35"/>
      <c r="R22" s="35"/>
      <c r="S22" s="35"/>
      <c r="T22" s="35"/>
      <c r="U22" s="35">
        <v>25</v>
      </c>
      <c r="V22" s="35"/>
      <c r="W22" s="35">
        <f>((G22-I22+U22)/G22)*100</f>
        <v>40</v>
      </c>
      <c r="X22" s="35"/>
      <c r="Y22" s="35">
        <f t="shared" si="2"/>
        <v>50</v>
      </c>
      <c r="Z22" s="35"/>
      <c r="AA22" s="35">
        <f t="shared" si="3"/>
        <v>50</v>
      </c>
    </row>
    <row r="23" spans="1:27" ht="12.75">
      <c r="A23" s="12" t="s">
        <v>37</v>
      </c>
      <c r="C23" s="39" t="s">
        <v>27</v>
      </c>
      <c r="D23" s="40"/>
      <c r="E23" s="40">
        <v>19</v>
      </c>
      <c r="F23" s="40"/>
      <c r="G23" s="40">
        <f t="shared" si="1"/>
        <v>123.45679012345678</v>
      </c>
      <c r="H23" s="40"/>
      <c r="I23" s="41">
        <v>100</v>
      </c>
      <c r="J23" s="41"/>
      <c r="K23" s="40"/>
      <c r="L23" s="40"/>
      <c r="M23" s="38">
        <v>16</v>
      </c>
      <c r="N23" s="40"/>
      <c r="O23" s="40"/>
      <c r="P23" s="40"/>
      <c r="Q23" s="40"/>
      <c r="R23" s="40"/>
      <c r="S23" s="40"/>
      <c r="T23" s="40"/>
      <c r="U23" s="38">
        <f aca="true" t="shared" si="4" ref="U23:U29">+(M23/100)*MAX(I23,O23)-S23</f>
        <v>16</v>
      </c>
      <c r="V23" s="38"/>
      <c r="W23" s="38">
        <f>(G23-I23+U23)/G23*100</f>
        <v>31.959999999999994</v>
      </c>
      <c r="X23" s="38"/>
      <c r="Y23" s="38">
        <f aca="true" t="shared" si="5" ref="Y23:Y44">((G23-I23)/((G23-I23)+U23))*100</f>
        <v>59.44931163954943</v>
      </c>
      <c r="Z23" s="38"/>
      <c r="AA23" s="38">
        <f aca="true" t="shared" si="6" ref="AA23:AA44">(U23/((G23-I23)+U23))*100</f>
        <v>40.55068836045057</v>
      </c>
    </row>
    <row r="24" spans="1:27" ht="12.75">
      <c r="A24" s="34" t="s">
        <v>108</v>
      </c>
      <c r="B24" s="35"/>
      <c r="C24" s="36" t="s">
        <v>4</v>
      </c>
      <c r="D24" s="35"/>
      <c r="E24" s="35">
        <v>20</v>
      </c>
      <c r="F24" s="35"/>
      <c r="G24" s="35">
        <f t="shared" si="1"/>
        <v>125</v>
      </c>
      <c r="H24" s="35"/>
      <c r="I24" s="37">
        <v>100</v>
      </c>
      <c r="J24" s="37"/>
      <c r="K24" s="35"/>
      <c r="L24" s="35"/>
      <c r="M24" s="35">
        <v>20</v>
      </c>
      <c r="N24" s="35"/>
      <c r="O24" s="35"/>
      <c r="P24" s="35"/>
      <c r="Q24" s="35"/>
      <c r="R24" s="35"/>
      <c r="S24" s="35"/>
      <c r="T24" s="35"/>
      <c r="U24" s="35">
        <f t="shared" si="4"/>
        <v>20</v>
      </c>
      <c r="V24" s="35"/>
      <c r="W24" s="35">
        <f>(G24-I24+U24)/G24*100</f>
        <v>36</v>
      </c>
      <c r="X24" s="35"/>
      <c r="Y24" s="35">
        <f t="shared" si="5"/>
        <v>55.55555555555556</v>
      </c>
      <c r="Z24" s="35"/>
      <c r="AA24" s="35">
        <f t="shared" si="6"/>
        <v>44.44444444444444</v>
      </c>
    </row>
    <row r="25" spans="1:27" ht="12.75">
      <c r="A25" s="42" t="s">
        <v>12</v>
      </c>
      <c r="B25" s="40"/>
      <c r="C25" s="39" t="s">
        <v>4</v>
      </c>
      <c r="D25" s="40"/>
      <c r="E25" s="40">
        <v>12.5</v>
      </c>
      <c r="F25" s="40"/>
      <c r="G25" s="40">
        <f t="shared" si="1"/>
        <v>114.28571428571429</v>
      </c>
      <c r="H25" s="40"/>
      <c r="I25" s="41">
        <v>100</v>
      </c>
      <c r="J25" s="41"/>
      <c r="K25" s="40"/>
      <c r="L25" s="40"/>
      <c r="M25" s="38">
        <v>48</v>
      </c>
      <c r="N25" s="40"/>
      <c r="O25" s="40"/>
      <c r="P25" s="40"/>
      <c r="Q25" s="40"/>
      <c r="R25" s="40"/>
      <c r="S25" s="40"/>
      <c r="T25" s="40"/>
      <c r="U25" s="38">
        <f t="shared" si="4"/>
        <v>48</v>
      </c>
      <c r="V25" s="38"/>
      <c r="W25" s="38">
        <f t="shared" si="0"/>
        <v>54.50000000000001</v>
      </c>
      <c r="X25" s="38"/>
      <c r="Y25" s="38">
        <f t="shared" si="5"/>
        <v>22.93577981651377</v>
      </c>
      <c r="Z25" s="38"/>
      <c r="AA25" s="38">
        <f t="shared" si="6"/>
        <v>77.06422018348623</v>
      </c>
    </row>
    <row r="26" spans="1:27" ht="12.75">
      <c r="A26" s="42" t="s">
        <v>43</v>
      </c>
      <c r="B26" s="40"/>
      <c r="C26" s="39" t="s">
        <v>29</v>
      </c>
      <c r="D26" s="40"/>
      <c r="E26" s="40">
        <v>25</v>
      </c>
      <c r="F26" s="40"/>
      <c r="G26" s="40">
        <f t="shared" si="1"/>
        <v>133.33333333333334</v>
      </c>
      <c r="H26" s="40"/>
      <c r="I26" s="41">
        <v>100</v>
      </c>
      <c r="J26" s="41"/>
      <c r="K26" s="40"/>
      <c r="L26" s="40"/>
      <c r="M26" s="38">
        <v>30</v>
      </c>
      <c r="N26" s="40"/>
      <c r="O26" s="40"/>
      <c r="P26" s="40"/>
      <c r="Q26" s="40"/>
      <c r="R26" s="40"/>
      <c r="S26" s="40"/>
      <c r="T26" s="40"/>
      <c r="U26" s="38">
        <f t="shared" si="4"/>
        <v>30</v>
      </c>
      <c r="V26" s="38"/>
      <c r="W26" s="38">
        <f t="shared" si="0"/>
        <v>47.5</v>
      </c>
      <c r="X26" s="38"/>
      <c r="Y26" s="38">
        <f t="shared" si="5"/>
        <v>52.63157894736843</v>
      </c>
      <c r="Z26" s="38"/>
      <c r="AA26" s="38">
        <f t="shared" si="6"/>
        <v>47.36842105263157</v>
      </c>
    </row>
    <row r="27" spans="1:27" ht="12.75">
      <c r="A27" s="42" t="s">
        <v>90</v>
      </c>
      <c r="B27" s="40"/>
      <c r="C27" s="39" t="s">
        <v>38</v>
      </c>
      <c r="D27" s="40"/>
      <c r="E27" s="40">
        <v>27.5</v>
      </c>
      <c r="F27" s="40"/>
      <c r="G27" s="40">
        <f t="shared" si="1"/>
        <v>137.93103448275863</v>
      </c>
      <c r="H27" s="40"/>
      <c r="I27" s="41">
        <v>100</v>
      </c>
      <c r="J27" s="41"/>
      <c r="K27" s="40">
        <v>20</v>
      </c>
      <c r="L27" s="40"/>
      <c r="M27" s="38">
        <v>20</v>
      </c>
      <c r="N27" s="40"/>
      <c r="O27" s="40"/>
      <c r="P27" s="40"/>
      <c r="Q27" s="40"/>
      <c r="R27" s="40"/>
      <c r="S27" s="40"/>
      <c r="T27" s="40"/>
      <c r="U27" s="38">
        <f t="shared" si="4"/>
        <v>20</v>
      </c>
      <c r="V27" s="38"/>
      <c r="W27" s="38">
        <f>(G27-I27+U27)/G27*100</f>
        <v>42.00000000000001</v>
      </c>
      <c r="X27" s="38"/>
      <c r="Y27" s="38">
        <f t="shared" si="5"/>
        <v>65.47619047619048</v>
      </c>
      <c r="Z27" s="38"/>
      <c r="AA27" s="38">
        <f t="shared" si="6"/>
        <v>34.52380952380952</v>
      </c>
    </row>
    <row r="28" spans="1:27" s="47" customFormat="1" ht="12.75">
      <c r="A28" s="42" t="s">
        <v>91</v>
      </c>
      <c r="B28" s="40"/>
      <c r="C28" s="39" t="s">
        <v>29</v>
      </c>
      <c r="D28" s="40"/>
      <c r="E28" s="40">
        <v>39.54</v>
      </c>
      <c r="F28" s="40"/>
      <c r="G28" s="40">
        <v>165.3986106516705</v>
      </c>
      <c r="H28" s="40"/>
      <c r="I28" s="41">
        <v>100</v>
      </c>
      <c r="J28" s="41"/>
      <c r="K28" s="40">
        <v>10</v>
      </c>
      <c r="L28" s="40"/>
      <c r="M28" s="38">
        <v>10</v>
      </c>
      <c r="N28" s="40"/>
      <c r="O28" s="40"/>
      <c r="P28" s="40"/>
      <c r="Q28" s="40"/>
      <c r="R28" s="40"/>
      <c r="S28" s="40"/>
      <c r="T28" s="40"/>
      <c r="U28" s="38">
        <f t="shared" si="4"/>
        <v>10</v>
      </c>
      <c r="V28" s="38"/>
      <c r="W28" s="38">
        <f>(G28-I28+U28)/G28*100</f>
        <v>45.58599999999999</v>
      </c>
      <c r="X28" s="38"/>
      <c r="Y28" s="38">
        <f t="shared" si="5"/>
        <v>86.7371561444303</v>
      </c>
      <c r="Z28" s="38"/>
      <c r="AA28" s="38">
        <f t="shared" si="6"/>
        <v>13.262843855569695</v>
      </c>
    </row>
    <row r="29" spans="1:27" ht="12.75">
      <c r="A29" s="42" t="s">
        <v>15</v>
      </c>
      <c r="B29" s="40"/>
      <c r="C29" s="39" t="s">
        <v>6</v>
      </c>
      <c r="D29" s="40"/>
      <c r="E29" s="40">
        <v>24.2</v>
      </c>
      <c r="F29" s="40"/>
      <c r="G29" s="40">
        <f t="shared" si="1"/>
        <v>131.92612137203167</v>
      </c>
      <c r="H29" s="40"/>
      <c r="I29" s="41">
        <v>100</v>
      </c>
      <c r="J29" s="41"/>
      <c r="K29" s="40"/>
      <c r="L29" s="40"/>
      <c r="M29" s="38">
        <v>41.8</v>
      </c>
      <c r="N29" s="40"/>
      <c r="O29" s="40">
        <v>111</v>
      </c>
      <c r="P29" s="40"/>
      <c r="Q29" s="40">
        <f>(O29-100)/O29*100</f>
        <v>9.90990990990991</v>
      </c>
      <c r="R29" s="40"/>
      <c r="S29" s="40">
        <f>+O29*Q29/100</f>
        <v>11</v>
      </c>
      <c r="T29" s="40"/>
      <c r="U29" s="38">
        <f t="shared" si="4"/>
        <v>35.397999999999996</v>
      </c>
      <c r="V29" s="38"/>
      <c r="W29" s="38">
        <f t="shared" si="0"/>
        <v>51.031684</v>
      </c>
      <c r="X29" s="38"/>
      <c r="Y29" s="38">
        <f t="shared" si="5"/>
        <v>47.421519540683796</v>
      </c>
      <c r="Z29" s="38"/>
      <c r="AA29" s="38">
        <f t="shared" si="6"/>
        <v>52.578480459316204</v>
      </c>
    </row>
    <row r="30" spans="1:27" ht="12.75">
      <c r="A30" s="42" t="s">
        <v>16</v>
      </c>
      <c r="B30" s="40"/>
      <c r="C30" s="39" t="s">
        <v>25</v>
      </c>
      <c r="D30" s="40"/>
      <c r="E30" s="40">
        <v>28.8</v>
      </c>
      <c r="F30" s="40"/>
      <c r="G30" s="40">
        <f t="shared" si="1"/>
        <v>140.4494382022472</v>
      </c>
      <c r="H30" s="40"/>
      <c r="I30" s="41">
        <v>100</v>
      </c>
      <c r="J30" s="41"/>
      <c r="K30" s="40"/>
      <c r="L30" s="40"/>
      <c r="M30" s="38">
        <v>38.95</v>
      </c>
      <c r="N30" s="40"/>
      <c r="O30" s="40"/>
      <c r="P30" s="40"/>
      <c r="Q30" s="40"/>
      <c r="R30" s="40"/>
      <c r="S30" s="40"/>
      <c r="T30" s="40"/>
      <c r="U30" s="38">
        <f>I30/2*M30/100</f>
        <v>19.475</v>
      </c>
      <c r="V30" s="38"/>
      <c r="W30" s="38">
        <f t="shared" si="0"/>
        <v>42.6662</v>
      </c>
      <c r="X30" s="38"/>
      <c r="Y30" s="38">
        <f t="shared" si="5"/>
        <v>67.50073828932503</v>
      </c>
      <c r="Z30" s="38"/>
      <c r="AA30" s="38">
        <f t="shared" si="6"/>
        <v>32.49926171067496</v>
      </c>
    </row>
    <row r="31" spans="1:27" ht="12.75">
      <c r="A31" s="42" t="s">
        <v>35</v>
      </c>
      <c r="B31" s="40"/>
      <c r="C31" s="39" t="s">
        <v>2</v>
      </c>
      <c r="D31" s="40"/>
      <c r="E31" s="40">
        <v>30</v>
      </c>
      <c r="F31" s="40"/>
      <c r="G31" s="40">
        <f t="shared" si="1"/>
        <v>142.85714285714286</v>
      </c>
      <c r="H31" s="40"/>
      <c r="I31" s="41">
        <v>100</v>
      </c>
      <c r="J31" s="41"/>
      <c r="K31" s="40"/>
      <c r="L31" s="40"/>
      <c r="M31" s="38">
        <v>30</v>
      </c>
      <c r="N31" s="40"/>
      <c r="O31" s="40">
        <f>100/(1-M31/100)</f>
        <v>142.85714285714286</v>
      </c>
      <c r="P31" s="40"/>
      <c r="Q31" s="40">
        <f>+((G31-100)/G31)*100</f>
        <v>30.000000000000004</v>
      </c>
      <c r="R31" s="40"/>
      <c r="S31" s="40">
        <f>I31*(Q31/(100-Q31))</f>
        <v>42.85714285714286</v>
      </c>
      <c r="T31" s="40"/>
      <c r="U31" s="38">
        <f>((Q31/100)*O31)-S31</f>
        <v>0</v>
      </c>
      <c r="V31" s="38"/>
      <c r="W31" s="38">
        <f>(G31-I31+U31)/G31*100</f>
        <v>30.000000000000004</v>
      </c>
      <c r="X31" s="38"/>
      <c r="Y31" s="38">
        <f t="shared" si="5"/>
        <v>100</v>
      </c>
      <c r="Z31" s="38"/>
      <c r="AA31" s="38">
        <f t="shared" si="6"/>
        <v>0</v>
      </c>
    </row>
    <row r="32" spans="1:27" ht="12.75">
      <c r="A32" s="42" t="s">
        <v>99</v>
      </c>
      <c r="B32" s="40"/>
      <c r="C32" s="39" t="s">
        <v>4</v>
      </c>
      <c r="D32" s="40"/>
      <c r="E32" s="40">
        <v>25</v>
      </c>
      <c r="F32" s="40"/>
      <c r="G32" s="40">
        <f t="shared" si="1"/>
        <v>133.33333333333334</v>
      </c>
      <c r="H32" s="40"/>
      <c r="I32" s="41">
        <v>100</v>
      </c>
      <c r="J32" s="41"/>
      <c r="K32" s="40"/>
      <c r="L32" s="40"/>
      <c r="M32" s="38">
        <v>25</v>
      </c>
      <c r="N32" s="40"/>
      <c r="O32" s="40"/>
      <c r="P32" s="40"/>
      <c r="Q32" s="40"/>
      <c r="R32" s="40"/>
      <c r="S32" s="40"/>
      <c r="T32" s="40"/>
      <c r="U32" s="38">
        <f>+(M32/100)*MAX(I32,O32)-S32</f>
        <v>25</v>
      </c>
      <c r="V32" s="38"/>
      <c r="W32" s="38">
        <f>(G32-I32+U32)/G32*100</f>
        <v>43.75000000000001</v>
      </c>
      <c r="X32" s="38"/>
      <c r="Y32" s="38">
        <f t="shared" si="5"/>
        <v>57.14285714285715</v>
      </c>
      <c r="Z32" s="38"/>
      <c r="AA32" s="38">
        <f t="shared" si="6"/>
        <v>42.85714285714285</v>
      </c>
    </row>
    <row r="33" spans="1:27" ht="12.75">
      <c r="A33" s="42" t="s">
        <v>100</v>
      </c>
      <c r="B33" s="40"/>
      <c r="C33" s="39" t="s">
        <v>2</v>
      </c>
      <c r="D33" s="40"/>
      <c r="E33" s="40">
        <v>28</v>
      </c>
      <c r="F33" s="40"/>
      <c r="G33" s="40">
        <f t="shared" si="1"/>
        <v>138.88888888888889</v>
      </c>
      <c r="H33" s="40"/>
      <c r="I33" s="41">
        <v>100</v>
      </c>
      <c r="J33" s="41"/>
      <c r="K33" s="40"/>
      <c r="L33" s="40"/>
      <c r="M33" s="38">
        <v>33</v>
      </c>
      <c r="N33" s="40"/>
      <c r="O33" s="40">
        <f>I33/(1-E33/100)</f>
        <v>138.88888888888889</v>
      </c>
      <c r="P33" s="40"/>
      <c r="Q33" s="40">
        <f>(O33-100)/O33*100</f>
        <v>27.999999999999996</v>
      </c>
      <c r="R33" s="40"/>
      <c r="S33" s="40">
        <f>+I33*(Q33/(100-Q33))</f>
        <v>38.888888888888886</v>
      </c>
      <c r="T33" s="40"/>
      <c r="U33" s="38">
        <f>+(M33/100)*MAX(I33,O33)-S33</f>
        <v>6.94444444444445</v>
      </c>
      <c r="V33" s="38"/>
      <c r="W33" s="38">
        <f>(G33-I33+U33)/G33*100</f>
        <v>33</v>
      </c>
      <c r="X33" s="38"/>
      <c r="Y33" s="38">
        <f>((G33-I33)/((G33-I33)+U33))*100</f>
        <v>84.84848484848484</v>
      </c>
      <c r="Z33" s="38"/>
      <c r="AA33" s="38">
        <f>(U33/((G33-I33)+U33))*100</f>
        <v>15.151515151515163</v>
      </c>
    </row>
    <row r="34" spans="1:27" ht="12.75">
      <c r="A34" s="42" t="s">
        <v>101</v>
      </c>
      <c r="B34" s="40"/>
      <c r="C34" s="39" t="s">
        <v>27</v>
      </c>
      <c r="D34" s="40"/>
      <c r="E34" s="40">
        <v>28</v>
      </c>
      <c r="F34" s="40"/>
      <c r="G34" s="40">
        <f t="shared" si="1"/>
        <v>138.88888888888889</v>
      </c>
      <c r="H34" s="40"/>
      <c r="I34" s="41">
        <v>100</v>
      </c>
      <c r="J34" s="41"/>
      <c r="K34" s="40"/>
      <c r="L34" s="40"/>
      <c r="M34" s="38">
        <v>28</v>
      </c>
      <c r="N34" s="40"/>
      <c r="O34" s="40"/>
      <c r="P34" s="40"/>
      <c r="Q34" s="40"/>
      <c r="R34" s="40"/>
      <c r="S34" s="40"/>
      <c r="T34" s="40"/>
      <c r="U34" s="38">
        <f aca="true" t="shared" si="7" ref="U34:U41">+(M34/100)*MAX(I34,O34)-S34</f>
        <v>28.000000000000004</v>
      </c>
      <c r="V34" s="38"/>
      <c r="W34" s="38">
        <f>(G34-I34+U34)/G34*100</f>
        <v>48.16</v>
      </c>
      <c r="X34" s="38"/>
      <c r="Y34" s="38">
        <f t="shared" si="5"/>
        <v>58.139534883720934</v>
      </c>
      <c r="Z34" s="38"/>
      <c r="AA34" s="38">
        <f t="shared" si="6"/>
        <v>41.86046511627908</v>
      </c>
    </row>
    <row r="35" spans="1:27" ht="12.75">
      <c r="A35" s="42" t="s">
        <v>36</v>
      </c>
      <c r="B35" s="40"/>
      <c r="C35" s="39" t="s">
        <v>29</v>
      </c>
      <c r="D35" s="40"/>
      <c r="E35" s="40">
        <v>19</v>
      </c>
      <c r="F35" s="40"/>
      <c r="G35" s="40">
        <f t="shared" si="1"/>
        <v>123.45679012345678</v>
      </c>
      <c r="H35" s="40"/>
      <c r="I35" s="41">
        <v>100</v>
      </c>
      <c r="J35" s="41"/>
      <c r="K35" s="40">
        <v>19</v>
      </c>
      <c r="L35" s="40">
        <v>15</v>
      </c>
      <c r="M35" s="38">
        <v>19</v>
      </c>
      <c r="N35" s="40"/>
      <c r="O35" s="40"/>
      <c r="P35" s="40"/>
      <c r="Q35" s="40"/>
      <c r="R35" s="40"/>
      <c r="S35" s="40"/>
      <c r="T35" s="40"/>
      <c r="U35" s="38">
        <f t="shared" si="7"/>
        <v>19</v>
      </c>
      <c r="V35" s="38"/>
      <c r="W35" s="38">
        <f t="shared" si="0"/>
        <v>34.39</v>
      </c>
      <c r="X35" s="38"/>
      <c r="Y35" s="38">
        <f t="shared" si="5"/>
        <v>55.24861878453038</v>
      </c>
      <c r="Z35" s="38"/>
      <c r="AA35" s="38">
        <f t="shared" si="6"/>
        <v>44.75138121546962</v>
      </c>
    </row>
    <row r="36" spans="1:27" ht="12.75">
      <c r="A36" s="42" t="s">
        <v>109</v>
      </c>
      <c r="B36" s="40"/>
      <c r="C36" s="39" t="s">
        <v>29</v>
      </c>
      <c r="D36" s="40"/>
      <c r="E36" s="40">
        <v>31.5</v>
      </c>
      <c r="F36" s="40"/>
      <c r="G36" s="40">
        <f t="shared" si="1"/>
        <v>145.985401459854</v>
      </c>
      <c r="H36" s="40"/>
      <c r="I36" s="41">
        <v>100</v>
      </c>
      <c r="J36" s="41"/>
      <c r="K36" s="40">
        <v>25</v>
      </c>
      <c r="L36" s="40"/>
      <c r="M36" s="38">
        <v>25</v>
      </c>
      <c r="N36" s="40"/>
      <c r="O36" s="40"/>
      <c r="P36" s="40"/>
      <c r="Q36" s="40"/>
      <c r="R36" s="40"/>
      <c r="S36" s="40"/>
      <c r="T36" s="40"/>
      <c r="U36" s="38">
        <f t="shared" si="7"/>
        <v>25</v>
      </c>
      <c r="V36" s="38"/>
      <c r="W36" s="38">
        <f t="shared" si="0"/>
        <v>48.62499999999999</v>
      </c>
      <c r="X36" s="38"/>
      <c r="Y36" s="38">
        <f t="shared" si="5"/>
        <v>64.78149100257068</v>
      </c>
      <c r="Z36" s="38"/>
      <c r="AA36" s="38">
        <f t="shared" si="6"/>
        <v>35.21850899742932</v>
      </c>
    </row>
    <row r="37" spans="1:27" ht="12.75">
      <c r="A37" s="34" t="s">
        <v>21</v>
      </c>
      <c r="B37" s="35"/>
      <c r="C37" s="36" t="s">
        <v>30</v>
      </c>
      <c r="D37" s="35"/>
      <c r="E37" s="35">
        <v>19</v>
      </c>
      <c r="F37" s="35"/>
      <c r="G37" s="35">
        <f t="shared" si="1"/>
        <v>123.45679012345678</v>
      </c>
      <c r="H37" s="35"/>
      <c r="I37" s="41">
        <v>100</v>
      </c>
      <c r="J37" s="37"/>
      <c r="K37" s="35"/>
      <c r="L37" s="35"/>
      <c r="M37" s="35">
        <v>0</v>
      </c>
      <c r="N37" s="35"/>
      <c r="O37" s="35"/>
      <c r="P37" s="35"/>
      <c r="Q37" s="35"/>
      <c r="R37" s="35"/>
      <c r="S37" s="35"/>
      <c r="T37" s="35"/>
      <c r="U37" s="38">
        <f t="shared" si="7"/>
        <v>0</v>
      </c>
      <c r="V37" s="38"/>
      <c r="W37" s="38">
        <f t="shared" si="0"/>
        <v>18.999999999999996</v>
      </c>
      <c r="X37" s="38"/>
      <c r="Y37" s="38">
        <f t="shared" si="5"/>
        <v>100</v>
      </c>
      <c r="Z37" s="38"/>
      <c r="AA37" s="38">
        <f t="shared" si="6"/>
        <v>0</v>
      </c>
    </row>
    <row r="38" spans="1:27" ht="12.75">
      <c r="A38" s="42" t="s">
        <v>42</v>
      </c>
      <c r="B38" s="40"/>
      <c r="C38" s="39" t="s">
        <v>4</v>
      </c>
      <c r="D38" s="40"/>
      <c r="E38" s="40">
        <v>18</v>
      </c>
      <c r="F38" s="40"/>
      <c r="G38" s="40">
        <f>100/(100-E38)*100</f>
        <v>121.95121951219512</v>
      </c>
      <c r="H38" s="40"/>
      <c r="I38" s="41">
        <v>100</v>
      </c>
      <c r="J38" s="41"/>
      <c r="K38" s="40">
        <v>20</v>
      </c>
      <c r="L38" s="40"/>
      <c r="M38" s="38">
        <v>20</v>
      </c>
      <c r="N38" s="40"/>
      <c r="O38" s="40"/>
      <c r="P38" s="40"/>
      <c r="Q38" s="40"/>
      <c r="R38" s="40"/>
      <c r="S38" s="40"/>
      <c r="T38" s="40"/>
      <c r="U38" s="38">
        <f t="shared" si="7"/>
        <v>20</v>
      </c>
      <c r="V38" s="38"/>
      <c r="W38" s="38">
        <f t="shared" si="0"/>
        <v>34.400000000000006</v>
      </c>
      <c r="X38" s="38"/>
      <c r="Y38" s="38">
        <f t="shared" si="5"/>
        <v>52.32558139534884</v>
      </c>
      <c r="Z38" s="38"/>
      <c r="AA38" s="38">
        <f t="shared" si="6"/>
        <v>47.67441860465116</v>
      </c>
    </row>
    <row r="39" spans="1:27" ht="12.75">
      <c r="A39" s="42" t="s">
        <v>110</v>
      </c>
      <c r="B39" s="40"/>
      <c r="C39" s="39" t="s">
        <v>29</v>
      </c>
      <c r="D39" s="40"/>
      <c r="E39" s="40">
        <v>30</v>
      </c>
      <c r="F39" s="40"/>
      <c r="G39" s="40">
        <f>100/(1-E39/100)</f>
        <v>142.85714285714286</v>
      </c>
      <c r="H39" s="40"/>
      <c r="I39" s="41">
        <v>100</v>
      </c>
      <c r="J39" s="41"/>
      <c r="K39" s="40"/>
      <c r="L39" s="40"/>
      <c r="M39" s="38">
        <v>27</v>
      </c>
      <c r="N39" s="40"/>
      <c r="O39" s="40"/>
      <c r="P39" s="40"/>
      <c r="Q39" s="40"/>
      <c r="R39" s="40"/>
      <c r="S39" s="40"/>
      <c r="T39" s="40"/>
      <c r="U39" s="38">
        <f>+(M39/100)*MAX(I39,O39)-S39</f>
        <v>27</v>
      </c>
      <c r="V39" s="38"/>
      <c r="W39" s="38">
        <f>(G39-I39+U39)/G39*100</f>
        <v>48.9</v>
      </c>
      <c r="X39" s="38"/>
      <c r="Y39" s="38">
        <f t="shared" si="5"/>
        <v>61.34969325153374</v>
      </c>
      <c r="Z39" s="38"/>
      <c r="AA39" s="38">
        <f t="shared" si="6"/>
        <v>38.65030674846626</v>
      </c>
    </row>
    <row r="40" spans="1:27" ht="12.75">
      <c r="A40" s="42" t="s">
        <v>23</v>
      </c>
      <c r="B40" s="40"/>
      <c r="C40" s="39" t="s">
        <v>4</v>
      </c>
      <c r="D40" s="40"/>
      <c r="E40" s="40">
        <v>26.3</v>
      </c>
      <c r="F40" s="40"/>
      <c r="G40" s="40">
        <f t="shared" si="1"/>
        <v>135.68521031207598</v>
      </c>
      <c r="H40" s="40"/>
      <c r="I40" s="41">
        <v>100</v>
      </c>
      <c r="J40" s="41"/>
      <c r="K40" s="40"/>
      <c r="L40" s="40"/>
      <c r="M40" s="38">
        <v>30</v>
      </c>
      <c r="N40" s="40"/>
      <c r="O40" s="40"/>
      <c r="P40" s="40"/>
      <c r="Q40" s="40"/>
      <c r="R40" s="40"/>
      <c r="S40" s="40"/>
      <c r="T40" s="40"/>
      <c r="U40" s="38">
        <f t="shared" si="7"/>
        <v>30</v>
      </c>
      <c r="V40" s="38"/>
      <c r="W40" s="38">
        <f t="shared" si="0"/>
        <v>48.41</v>
      </c>
      <c r="X40" s="38"/>
      <c r="Y40" s="38">
        <f t="shared" si="5"/>
        <v>54.32761826068994</v>
      </c>
      <c r="Z40" s="38"/>
      <c r="AA40" s="38">
        <f t="shared" si="6"/>
        <v>45.67238173931006</v>
      </c>
    </row>
    <row r="41" spans="1:27" ht="12.75">
      <c r="A41" s="42" t="s">
        <v>111</v>
      </c>
      <c r="B41" s="40"/>
      <c r="C41" s="39" t="s">
        <v>29</v>
      </c>
      <c r="D41" s="40"/>
      <c r="E41" s="40">
        <v>21.17</v>
      </c>
      <c r="F41" s="40"/>
      <c r="G41" s="40">
        <f t="shared" si="1"/>
        <v>126.85525815045034</v>
      </c>
      <c r="H41" s="40"/>
      <c r="I41" s="41">
        <v>100</v>
      </c>
      <c r="J41" s="41"/>
      <c r="K41" s="40"/>
      <c r="L41" s="40"/>
      <c r="M41" s="38">
        <f>(13*0.5)*(1+1.19)+(11.5*0.5)</f>
        <v>19.985</v>
      </c>
      <c r="N41" s="40"/>
      <c r="O41" s="40"/>
      <c r="P41" s="40"/>
      <c r="Q41" s="40"/>
      <c r="R41" s="40"/>
      <c r="S41" s="40"/>
      <c r="T41" s="40"/>
      <c r="U41" s="38">
        <f t="shared" si="7"/>
        <v>19.985</v>
      </c>
      <c r="V41" s="38"/>
      <c r="W41" s="38">
        <f>(G41-I41+U41)/G41*100</f>
        <v>36.924175500000004</v>
      </c>
      <c r="X41" s="38"/>
      <c r="Y41" s="38">
        <f t="shared" si="5"/>
        <v>57.33371080960224</v>
      </c>
      <c r="Z41" s="38"/>
      <c r="AA41" s="38">
        <f t="shared" si="6"/>
        <v>42.66628919039776</v>
      </c>
    </row>
    <row r="42" spans="1:27" ht="12.75">
      <c r="A42" s="42" t="s">
        <v>24</v>
      </c>
      <c r="B42" s="40"/>
      <c r="C42" s="39" t="s">
        <v>25</v>
      </c>
      <c r="D42" s="40"/>
      <c r="E42" s="40">
        <v>20</v>
      </c>
      <c r="F42" s="40"/>
      <c r="G42" s="40">
        <f t="shared" si="1"/>
        <v>125</v>
      </c>
      <c r="H42" s="40"/>
      <c r="I42" s="41">
        <v>100</v>
      </c>
      <c r="J42" s="41"/>
      <c r="K42" s="40"/>
      <c r="L42" s="40"/>
      <c r="M42" s="38">
        <v>35</v>
      </c>
      <c r="N42" s="40"/>
      <c r="O42" s="40"/>
      <c r="P42" s="40"/>
      <c r="Q42" s="40"/>
      <c r="R42" s="40"/>
      <c r="S42" s="40"/>
      <c r="T42" s="40"/>
      <c r="U42" s="38">
        <f>(I42/2*M42/100)-(I42*15/100)+(I42*15/100)</f>
        <v>17.5</v>
      </c>
      <c r="V42" s="38"/>
      <c r="W42" s="38">
        <f>(G42-I42+U42)/G42*100</f>
        <v>34</v>
      </c>
      <c r="X42" s="38"/>
      <c r="Y42" s="38">
        <f t="shared" si="5"/>
        <v>58.82352941176471</v>
      </c>
      <c r="Z42" s="38" t="e">
        <f>(H42-J42)/(H42-J42+L42+V42)*100</f>
        <v>#DIV/0!</v>
      </c>
      <c r="AA42" s="38">
        <f t="shared" si="6"/>
        <v>41.17647058823529</v>
      </c>
    </row>
    <row r="43" spans="1:27" ht="16.5">
      <c r="A43" s="42" t="s">
        <v>112</v>
      </c>
      <c r="B43" s="40"/>
      <c r="C43" s="45" t="s">
        <v>6</v>
      </c>
      <c r="D43" s="46"/>
      <c r="E43" s="40">
        <v>24</v>
      </c>
      <c r="F43" s="40"/>
      <c r="G43" s="40">
        <f t="shared" si="1"/>
        <v>131.57894736842104</v>
      </c>
      <c r="H43" s="40"/>
      <c r="I43" s="41">
        <v>100</v>
      </c>
      <c r="J43" s="41"/>
      <c r="K43" s="40"/>
      <c r="L43" s="40"/>
      <c r="M43" s="38">
        <v>42.5</v>
      </c>
      <c r="N43" s="40"/>
      <c r="O43" s="40">
        <v>111.11</v>
      </c>
      <c r="P43" s="40"/>
      <c r="Q43" s="40">
        <f>(O43-100)/O43*100</f>
        <v>9.99909999099991</v>
      </c>
      <c r="R43" s="40"/>
      <c r="S43" s="40">
        <f>+I43*(Q43/(100-Q43))</f>
        <v>11.110000000000001</v>
      </c>
      <c r="T43" s="40"/>
      <c r="U43" s="38">
        <f>+(M43/100)*MAX(I43,O43)-S43</f>
        <v>36.11175</v>
      </c>
      <c r="V43" s="38"/>
      <c r="W43" s="38">
        <f>(G43-I43+U43)/G43*100</f>
        <v>51.44493</v>
      </c>
      <c r="X43" s="38"/>
      <c r="Y43" s="38">
        <f>((G43-I43)/((G43-I43)+U43))*100</f>
        <v>46.65182749787004</v>
      </c>
      <c r="Z43" s="38"/>
      <c r="AA43" s="38">
        <f>(U43/((G43-I43)+U43))*100</f>
        <v>53.348172502129955</v>
      </c>
    </row>
    <row r="44" spans="1:27" ht="16.5">
      <c r="A44" s="42" t="s">
        <v>113</v>
      </c>
      <c r="B44" s="40"/>
      <c r="C44" s="39" t="s">
        <v>29</v>
      </c>
      <c r="D44" s="40"/>
      <c r="E44" s="40">
        <v>39.1</v>
      </c>
      <c r="F44" s="40"/>
      <c r="G44" s="40">
        <f t="shared" si="1"/>
        <v>164.20361247947454</v>
      </c>
      <c r="H44" s="40"/>
      <c r="I44" s="41">
        <v>100</v>
      </c>
      <c r="J44" s="41"/>
      <c r="K44" s="40"/>
      <c r="L44" s="40"/>
      <c r="M44" s="38">
        <v>21.3</v>
      </c>
      <c r="N44" s="40"/>
      <c r="O44" s="40"/>
      <c r="P44" s="40"/>
      <c r="Q44" s="40"/>
      <c r="R44" s="40"/>
      <c r="S44" s="40"/>
      <c r="T44" s="40"/>
      <c r="U44" s="38">
        <f>+(M44/100)*MAX(I44,O44)-S44</f>
        <v>21.3</v>
      </c>
      <c r="V44" s="38"/>
      <c r="W44" s="38">
        <f>(G44-I44+U44)/G44*100</f>
        <v>52.0717</v>
      </c>
      <c r="X44" s="38"/>
      <c r="Y44" s="38">
        <f t="shared" si="5"/>
        <v>75.08877182807552</v>
      </c>
      <c r="Z44" s="38"/>
      <c r="AA44" s="38">
        <f t="shared" si="6"/>
        <v>24.911228171924485</v>
      </c>
    </row>
    <row r="45" spans="1:27" ht="15.75" thickBot="1">
      <c r="A45" s="28"/>
      <c r="B45" s="28"/>
      <c r="C45" s="28"/>
      <c r="D45" s="28"/>
      <c r="E45" s="28"/>
      <c r="F45" s="28"/>
      <c r="G45" s="28"/>
      <c r="H45" s="28"/>
      <c r="I45" s="28"/>
      <c r="J45" s="28"/>
      <c r="K45" s="28"/>
      <c r="L45" s="28"/>
      <c r="M45" s="28"/>
      <c r="N45" s="28"/>
      <c r="O45" s="28"/>
      <c r="P45" s="28"/>
      <c r="Q45" s="28"/>
      <c r="R45" s="28"/>
      <c r="S45" s="28"/>
      <c r="T45" s="28"/>
      <c r="U45" s="29"/>
      <c r="V45" s="28"/>
      <c r="W45" s="28"/>
      <c r="X45" s="28"/>
      <c r="Y45" s="28"/>
      <c r="Z45" s="28"/>
      <c r="AA45" s="28"/>
    </row>
    <row r="93" s="12" customFormat="1" ht="15"/>
  </sheetData>
  <sheetProtection/>
  <mergeCells count="13">
    <mergeCell ref="M5:M8"/>
    <mergeCell ref="C5:C8"/>
    <mergeCell ref="E5:E8"/>
    <mergeCell ref="G5:G8"/>
    <mergeCell ref="I5:I8"/>
    <mergeCell ref="K5:K8"/>
    <mergeCell ref="AA5:AA8"/>
    <mergeCell ref="O5:O8"/>
    <mergeCell ref="Q5:Q8"/>
    <mergeCell ref="S5:S8"/>
    <mergeCell ref="U5:U8"/>
    <mergeCell ref="W5:W8"/>
    <mergeCell ref="Y5:Y8"/>
  </mergeCells>
  <printOptions/>
  <pageMargins left="0.25" right="0.25" top="1" bottom="1" header="0.3" footer="0.3"/>
  <pageSetup fitToHeight="1" fitToWidth="1" horizontalDpi="600" verticalDpi="600" orientation="portrait" paperSize="9" scale="42"/>
  <ignoredErrors>
    <ignoredError sqref="C3:AA3" numberStoredAsText="1"/>
    <ignoredError sqref="Z17" evalError="1"/>
  </ignoredError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B46"/>
  <sheetViews>
    <sheetView showGridLines="0" zoomScaleSheetLayoutView="85" zoomScalePageLayoutView="0" workbookViewId="0" topLeftCell="A1">
      <selection activeCell="A1" sqref="A1:IV65536"/>
    </sheetView>
  </sheetViews>
  <sheetFormatPr defaultColWidth="9.140625" defaultRowHeight="12.75"/>
  <cols>
    <col min="1" max="1" width="16.2812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7.140625" style="2" customWidth="1"/>
    <col min="10" max="10" width="0.85546875" style="2" customWidth="1"/>
    <col min="11" max="11" width="7.710937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421875" style="2" customWidth="1"/>
    <col min="18" max="18" width="0.85546875" style="2" customWidth="1"/>
    <col min="19" max="19" width="12.421875" style="2" customWidth="1"/>
    <col min="20" max="20" width="0.85546875" style="2" customWidth="1"/>
    <col min="21" max="21" width="8.7109375" style="2" customWidth="1"/>
    <col min="22" max="22" width="0.85546875" style="2" customWidth="1"/>
    <col min="23" max="23" width="7.421875" style="2" customWidth="1"/>
    <col min="24" max="24" width="0.9921875" style="2" customWidth="1"/>
    <col min="25" max="25" width="7.7109375" style="2" customWidth="1"/>
    <col min="26" max="26" width="1.28515625" style="2" customWidth="1"/>
    <col min="27" max="27" width="7.8515625" style="2" customWidth="1"/>
    <col min="28" max="28" width="9.140625" style="8" customWidth="1"/>
    <col min="29" max="16384" width="9.140625" style="2" customWidth="1"/>
  </cols>
  <sheetData>
    <row r="1" spans="1:21" ht="12.75">
      <c r="A1" s="1">
        <v>41680</v>
      </c>
      <c r="C1" s="3"/>
      <c r="U1" s="4"/>
    </row>
    <row r="2" spans="1:27" ht="12.75">
      <c r="A2" s="5" t="s">
        <v>116</v>
      </c>
      <c r="B2" s="6"/>
      <c r="C2" s="6"/>
      <c r="D2" s="6"/>
      <c r="E2" s="6"/>
      <c r="F2" s="6"/>
      <c r="G2" s="6"/>
      <c r="H2" s="6"/>
      <c r="I2" s="6"/>
      <c r="J2" s="6"/>
      <c r="K2" s="6"/>
      <c r="L2" s="6"/>
      <c r="M2" s="6"/>
      <c r="N2" s="6"/>
      <c r="O2" s="6"/>
      <c r="P2" s="6"/>
      <c r="Q2" s="6"/>
      <c r="R2" s="6"/>
      <c r="S2" s="6"/>
      <c r="T2" s="6"/>
      <c r="U2" s="6"/>
      <c r="V2" s="6"/>
      <c r="W2" s="6"/>
      <c r="X2" s="6"/>
      <c r="Y2" s="6"/>
      <c r="Z2" s="6"/>
      <c r="AA2" s="6"/>
    </row>
    <row r="3" spans="1:27" ht="13.5" thickBot="1">
      <c r="A3" s="7"/>
      <c r="B3" s="7"/>
      <c r="C3" s="7"/>
      <c r="D3" s="7"/>
      <c r="E3" s="7"/>
      <c r="F3" s="7"/>
      <c r="G3" s="7"/>
      <c r="H3" s="7"/>
      <c r="I3" s="7"/>
      <c r="J3" s="7"/>
      <c r="K3" s="7"/>
      <c r="L3" s="7"/>
      <c r="M3" s="7"/>
      <c r="N3" s="7"/>
      <c r="O3" s="7"/>
      <c r="P3" s="7"/>
      <c r="Q3" s="7"/>
      <c r="R3" s="7"/>
      <c r="S3" s="7"/>
      <c r="T3" s="7"/>
      <c r="U3" s="7"/>
      <c r="V3" s="7"/>
      <c r="W3" s="7"/>
      <c r="X3" s="7"/>
      <c r="Y3" s="7"/>
      <c r="Z3" s="7"/>
      <c r="AA3" s="7"/>
    </row>
    <row r="4" ht="12.75">
      <c r="U4" s="4"/>
    </row>
    <row r="5" spans="1:27" ht="12.75">
      <c r="A5" s="9"/>
      <c r="B5" s="9"/>
      <c r="C5" s="51" t="s">
        <v>0</v>
      </c>
      <c r="D5" s="10"/>
      <c r="E5" s="51" t="s">
        <v>46</v>
      </c>
      <c r="F5" s="11"/>
      <c r="G5" s="51" t="s">
        <v>47</v>
      </c>
      <c r="H5" s="11"/>
      <c r="I5" s="51" t="s">
        <v>48</v>
      </c>
      <c r="J5" s="10"/>
      <c r="K5" s="51" t="s">
        <v>78</v>
      </c>
      <c r="L5" s="11"/>
      <c r="M5" s="51" t="s">
        <v>50</v>
      </c>
      <c r="N5" s="10"/>
      <c r="O5" s="51" t="s">
        <v>51</v>
      </c>
      <c r="P5" s="11"/>
      <c r="Q5" s="51" t="s">
        <v>52</v>
      </c>
      <c r="R5" s="11"/>
      <c r="S5" s="51" t="s">
        <v>53</v>
      </c>
      <c r="T5" s="11"/>
      <c r="U5" s="51" t="s">
        <v>54</v>
      </c>
      <c r="V5" s="10"/>
      <c r="W5" s="51" t="s">
        <v>55</v>
      </c>
      <c r="X5" s="12"/>
      <c r="Y5" s="51" t="s">
        <v>56</v>
      </c>
      <c r="Z5" s="12"/>
      <c r="AA5" s="51" t="s">
        <v>57</v>
      </c>
    </row>
    <row r="6" spans="1:27" ht="12.75">
      <c r="A6" s="12"/>
      <c r="B6" s="9"/>
      <c r="C6" s="52"/>
      <c r="D6" s="10"/>
      <c r="E6" s="52"/>
      <c r="F6" s="11"/>
      <c r="G6" s="52"/>
      <c r="H6" s="11"/>
      <c r="I6" s="52"/>
      <c r="J6" s="10"/>
      <c r="K6" s="52"/>
      <c r="L6" s="11"/>
      <c r="M6" s="52"/>
      <c r="N6" s="13"/>
      <c r="O6" s="52"/>
      <c r="P6" s="11"/>
      <c r="Q6" s="52"/>
      <c r="R6" s="11"/>
      <c r="S6" s="52"/>
      <c r="T6" s="11"/>
      <c r="U6" s="52"/>
      <c r="V6" s="10"/>
      <c r="W6" s="52"/>
      <c r="X6" s="12"/>
      <c r="Y6" s="52"/>
      <c r="Z6" s="12"/>
      <c r="AA6" s="52"/>
    </row>
    <row r="7" spans="1:27" ht="12.75">
      <c r="A7" s="14"/>
      <c r="B7" s="9"/>
      <c r="C7" s="52"/>
      <c r="D7" s="10"/>
      <c r="E7" s="52"/>
      <c r="F7" s="11"/>
      <c r="G7" s="52"/>
      <c r="H7" s="11"/>
      <c r="I7" s="52"/>
      <c r="J7" s="10"/>
      <c r="K7" s="52"/>
      <c r="L7" s="11"/>
      <c r="M7" s="52"/>
      <c r="N7" s="13"/>
      <c r="O7" s="52"/>
      <c r="P7" s="11"/>
      <c r="Q7" s="52"/>
      <c r="R7" s="11"/>
      <c r="S7" s="52"/>
      <c r="T7" s="11"/>
      <c r="U7" s="52"/>
      <c r="V7" s="10"/>
      <c r="W7" s="52"/>
      <c r="X7" s="12"/>
      <c r="Y7" s="52"/>
      <c r="Z7" s="12"/>
      <c r="AA7" s="52"/>
    </row>
    <row r="8" spans="1:27" ht="12.75">
      <c r="A8" s="14" t="s">
        <v>1</v>
      </c>
      <c r="B8" s="9"/>
      <c r="C8" s="52"/>
      <c r="D8" s="10"/>
      <c r="E8" s="52"/>
      <c r="F8" s="11"/>
      <c r="G8" s="52"/>
      <c r="H8" s="11"/>
      <c r="I8" s="52"/>
      <c r="J8" s="10"/>
      <c r="K8" s="52"/>
      <c r="L8" s="11"/>
      <c r="M8" s="52"/>
      <c r="N8" s="13"/>
      <c r="O8" s="52"/>
      <c r="P8" s="11"/>
      <c r="Q8" s="52"/>
      <c r="R8" s="11"/>
      <c r="S8" s="52"/>
      <c r="T8" s="11"/>
      <c r="U8" s="52"/>
      <c r="V8" s="10"/>
      <c r="W8" s="52"/>
      <c r="X8" s="12"/>
      <c r="Y8" s="52"/>
      <c r="Z8" s="12"/>
      <c r="AA8" s="52"/>
    </row>
    <row r="9" spans="1:27" ht="12.75">
      <c r="A9" s="15"/>
      <c r="B9" s="15"/>
      <c r="C9" s="16"/>
      <c r="D9" s="17"/>
      <c r="E9" s="16"/>
      <c r="F9" s="18"/>
      <c r="G9" s="16"/>
      <c r="H9" s="18"/>
      <c r="I9" s="16"/>
      <c r="J9" s="17"/>
      <c r="K9" s="16"/>
      <c r="L9" s="18"/>
      <c r="M9" s="16"/>
      <c r="N9" s="16"/>
      <c r="O9" s="18"/>
      <c r="P9" s="18"/>
      <c r="Q9" s="18"/>
      <c r="R9" s="18"/>
      <c r="S9" s="18"/>
      <c r="T9" s="18"/>
      <c r="U9" s="15"/>
      <c r="V9" s="17"/>
      <c r="W9" s="16"/>
      <c r="X9" s="16"/>
      <c r="Y9" s="16"/>
      <c r="Z9" s="16"/>
      <c r="AA9" s="16"/>
    </row>
    <row r="10" ht="12.75">
      <c r="U10" s="4"/>
    </row>
    <row r="11" spans="1:27" ht="12.75">
      <c r="A11" s="34" t="s">
        <v>58</v>
      </c>
      <c r="B11" s="35"/>
      <c r="C11" s="36" t="s">
        <v>2</v>
      </c>
      <c r="D11" s="35"/>
      <c r="E11" s="35">
        <v>30</v>
      </c>
      <c r="F11" s="35"/>
      <c r="G11" s="35">
        <v>142.9</v>
      </c>
      <c r="H11" s="35"/>
      <c r="I11" s="37">
        <v>100</v>
      </c>
      <c r="J11" s="37"/>
      <c r="K11" s="35"/>
      <c r="L11" s="35"/>
      <c r="M11" s="35">
        <v>46.5</v>
      </c>
      <c r="N11" s="35"/>
      <c r="O11" s="35">
        <v>142.9</v>
      </c>
      <c r="P11" s="35"/>
      <c r="Q11" s="35">
        <v>30</v>
      </c>
      <c r="R11" s="35"/>
      <c r="S11" s="35">
        <v>42.9</v>
      </c>
      <c r="T11" s="35"/>
      <c r="U11" s="35">
        <v>23.6</v>
      </c>
      <c r="V11" s="35"/>
      <c r="W11" s="38">
        <v>46.53603918824353</v>
      </c>
      <c r="X11" s="35"/>
      <c r="Y11" s="35">
        <v>64.5</v>
      </c>
      <c r="Z11" s="35"/>
      <c r="AA11" s="35">
        <v>35.48872180451128</v>
      </c>
    </row>
    <row r="12" spans="1:27" ht="12.75">
      <c r="A12" s="12" t="s">
        <v>3</v>
      </c>
      <c r="C12" s="39" t="s">
        <v>4</v>
      </c>
      <c r="D12" s="40"/>
      <c r="E12" s="40">
        <v>25</v>
      </c>
      <c r="F12" s="40"/>
      <c r="G12" s="40">
        <v>133.33333333333334</v>
      </c>
      <c r="H12" s="40"/>
      <c r="I12" s="41">
        <v>100</v>
      </c>
      <c r="J12" s="41"/>
      <c r="K12" s="40">
        <v>25</v>
      </c>
      <c r="L12" s="40"/>
      <c r="M12" s="38">
        <v>25</v>
      </c>
      <c r="N12" s="40"/>
      <c r="O12" s="40"/>
      <c r="P12" s="40"/>
      <c r="Q12" s="40"/>
      <c r="R12" s="40"/>
      <c r="S12" s="40"/>
      <c r="T12" s="40"/>
      <c r="U12" s="38">
        <v>25</v>
      </c>
      <c r="V12" s="38"/>
      <c r="W12" s="38">
        <v>43.75000000000001</v>
      </c>
      <c r="X12" s="38"/>
      <c r="Y12" s="38">
        <v>57.14285714285715</v>
      </c>
      <c r="Z12" s="38"/>
      <c r="AA12" s="38">
        <v>42.85714285714285</v>
      </c>
    </row>
    <row r="13" spans="1:27" ht="12.75">
      <c r="A13" s="12" t="s">
        <v>59</v>
      </c>
      <c r="C13" s="39" t="s">
        <v>4</v>
      </c>
      <c r="D13" s="40"/>
      <c r="E13" s="40">
        <f>33*1.03</f>
        <v>33.99</v>
      </c>
      <c r="F13" s="40"/>
      <c r="G13" s="40">
        <f>100/(1-E13/100)</f>
        <v>151.4921981517952</v>
      </c>
      <c r="H13" s="40"/>
      <c r="I13" s="41">
        <v>100</v>
      </c>
      <c r="J13" s="41"/>
      <c r="K13" s="40"/>
      <c r="L13" s="40"/>
      <c r="M13" s="38">
        <v>15</v>
      </c>
      <c r="N13" s="40"/>
      <c r="O13" s="40"/>
      <c r="P13" s="40"/>
      <c r="Q13" s="40"/>
      <c r="R13" s="40"/>
      <c r="S13" s="40"/>
      <c r="T13" s="40"/>
      <c r="U13" s="38">
        <f>+(M13/100)*MAX(I13,O13)-S13</f>
        <v>15</v>
      </c>
      <c r="V13" s="38"/>
      <c r="W13" s="38">
        <f>(G13-I13+U13)/G13*100</f>
        <v>43.89150000000001</v>
      </c>
      <c r="X13" s="38"/>
      <c r="Y13" s="38">
        <f>((G13-I13)/((G13-I13)+U13))*100</f>
        <v>77.44096237312465</v>
      </c>
      <c r="Z13" s="38"/>
      <c r="AA13" s="38">
        <f>(U13/((G13-I13)+U13))*100</f>
        <v>22.559037626875355</v>
      </c>
    </row>
    <row r="14" spans="1:27" ht="12.75">
      <c r="A14" s="42" t="s">
        <v>87</v>
      </c>
      <c r="B14" s="40"/>
      <c r="C14" s="39" t="s">
        <v>2</v>
      </c>
      <c r="D14" s="40"/>
      <c r="E14" s="40">
        <v>27.7</v>
      </c>
      <c r="F14" s="40"/>
      <c r="G14" s="40">
        <f>100/(1-E14/100)</f>
        <v>138.31258644536652</v>
      </c>
      <c r="H14" s="40"/>
      <c r="I14" s="41">
        <v>100</v>
      </c>
      <c r="J14" s="41"/>
      <c r="K14" s="40"/>
      <c r="L14" s="40"/>
      <c r="M14" s="38">
        <f>29+11.16+6.25</f>
        <v>46.41</v>
      </c>
      <c r="N14" s="40"/>
      <c r="O14" s="40">
        <f>1.41*I14</f>
        <v>141</v>
      </c>
      <c r="P14" s="40"/>
      <c r="Q14" s="40">
        <f>16.4354+1.56*6.4</f>
        <v>26.419400000000003</v>
      </c>
      <c r="R14" s="40"/>
      <c r="S14" s="40">
        <f>O14*Q14/100</f>
        <v>37.251354000000006</v>
      </c>
      <c r="T14" s="40"/>
      <c r="U14" s="38">
        <f>+(M14/100)*MAX(I14,O14)-S14</f>
        <v>28.186745999999985</v>
      </c>
      <c r="V14" s="38"/>
      <c r="W14" s="38">
        <f>(G14-I14+U14)/G14*100</f>
        <v>48.07901735799999</v>
      </c>
      <c r="X14" s="38"/>
      <c r="Y14" s="38">
        <f>((G14-I14)/((G14-I14)+U14))*100</f>
        <v>57.61349029607595</v>
      </c>
      <c r="Z14" s="38"/>
      <c r="AA14" s="38">
        <f>(U14/((G14-I14)+U14))*100</f>
        <v>42.38650970392405</v>
      </c>
    </row>
    <row r="15" spans="1:27" ht="12.75">
      <c r="A15" s="12" t="s">
        <v>41</v>
      </c>
      <c r="B15" s="40"/>
      <c r="C15" s="39" t="s">
        <v>2</v>
      </c>
      <c r="D15" s="40"/>
      <c r="E15" s="40">
        <v>20</v>
      </c>
      <c r="F15" s="40"/>
      <c r="G15" s="40">
        <v>125</v>
      </c>
      <c r="H15" s="40"/>
      <c r="I15" s="41">
        <v>100</v>
      </c>
      <c r="J15" s="41"/>
      <c r="K15" s="40" t="s">
        <v>34</v>
      </c>
      <c r="L15" s="40"/>
      <c r="M15" s="38">
        <v>40</v>
      </c>
      <c r="N15" s="40"/>
      <c r="O15" s="40">
        <v>125</v>
      </c>
      <c r="P15" s="40"/>
      <c r="Q15" s="40">
        <v>20</v>
      </c>
      <c r="R15" s="40"/>
      <c r="S15" s="40">
        <v>25</v>
      </c>
      <c r="T15" s="40" t="s">
        <v>40</v>
      </c>
      <c r="U15" s="38">
        <f>+(M15/100)*MAX(I15,O15)-S15</f>
        <v>25</v>
      </c>
      <c r="V15" s="38"/>
      <c r="W15" s="38">
        <f>(G15-I15+U15)/G15*100</f>
        <v>40</v>
      </c>
      <c r="X15" s="38"/>
      <c r="Y15" s="38">
        <f>((G15-I15)/((G15-I15)+U15))*100</f>
        <v>50</v>
      </c>
      <c r="Z15" s="38"/>
      <c r="AA15" s="38">
        <f>(U15/((G15-I15)+U15))*100</f>
        <v>50</v>
      </c>
    </row>
    <row r="16" spans="1:27" ht="12.75">
      <c r="A16" s="42" t="s">
        <v>7</v>
      </c>
      <c r="B16" s="40"/>
      <c r="C16" s="39" t="s">
        <v>4</v>
      </c>
      <c r="D16" s="40"/>
      <c r="E16" s="40">
        <v>19</v>
      </c>
      <c r="F16" s="40"/>
      <c r="G16" s="40">
        <v>123.45679012345678</v>
      </c>
      <c r="H16" s="40"/>
      <c r="I16" s="41">
        <v>100</v>
      </c>
      <c r="J16" s="41"/>
      <c r="K16" s="40">
        <v>15</v>
      </c>
      <c r="L16" s="40"/>
      <c r="M16" s="38">
        <v>15</v>
      </c>
      <c r="N16" s="40"/>
      <c r="O16" s="40"/>
      <c r="P16" s="40"/>
      <c r="Q16" s="40"/>
      <c r="R16" s="40"/>
      <c r="S16" s="40"/>
      <c r="T16" s="40"/>
      <c r="U16" s="38">
        <v>15</v>
      </c>
      <c r="V16" s="38"/>
      <c r="W16" s="38">
        <f>(G16-I16+U16)/G16*100</f>
        <v>31.149999999999995</v>
      </c>
      <c r="X16" s="38"/>
      <c r="Y16" s="38">
        <v>60.9951845906902</v>
      </c>
      <c r="Z16" s="38"/>
      <c r="AA16" s="38">
        <v>39.00481540930979</v>
      </c>
    </row>
    <row r="17" spans="1:27" ht="12.75">
      <c r="A17" s="42" t="s">
        <v>8</v>
      </c>
      <c r="B17" s="40"/>
      <c r="C17" s="39" t="s">
        <v>29</v>
      </c>
      <c r="D17" s="40"/>
      <c r="E17" s="40">
        <v>25</v>
      </c>
      <c r="F17" s="40"/>
      <c r="G17" s="40">
        <f aca="true" t="shared" si="0" ref="G17:G44">100/(1-E17/100)</f>
        <v>133.33333333333334</v>
      </c>
      <c r="H17" s="40"/>
      <c r="I17" s="41">
        <v>100</v>
      </c>
      <c r="J17" s="41"/>
      <c r="K17" s="40"/>
      <c r="L17" s="40"/>
      <c r="M17" s="38">
        <v>42</v>
      </c>
      <c r="N17" s="40"/>
      <c r="O17" s="40"/>
      <c r="P17" s="40"/>
      <c r="Q17" s="40"/>
      <c r="R17" s="40"/>
      <c r="S17" s="40"/>
      <c r="T17" s="40"/>
      <c r="U17" s="38">
        <f>+(M17/100)*MAX(I17,O17)-S17</f>
        <v>42</v>
      </c>
      <c r="V17" s="38"/>
      <c r="W17" s="38">
        <f aca="true" t="shared" si="1" ref="W17:W40">(G17-I17+U17)/G17*100</f>
        <v>56.50000000000001</v>
      </c>
      <c r="X17" s="38"/>
      <c r="Y17" s="38">
        <f aca="true" t="shared" si="2" ref="Y17:Y22">((G17-I17)/((G17-I17)+U17))*100</f>
        <v>44.247787610619476</v>
      </c>
      <c r="Z17" s="38" t="e">
        <f>+T17/(F17-H17+T17)*100</f>
        <v>#DIV/0!</v>
      </c>
      <c r="AA17" s="38">
        <f aca="true" t="shared" si="3" ref="AA17:AA22">(U17/((G17-I17)+U17))*100</f>
        <v>55.75221238938053</v>
      </c>
    </row>
    <row r="18" spans="1:27" ht="12.75">
      <c r="A18" s="34" t="s">
        <v>44</v>
      </c>
      <c r="B18" s="35"/>
      <c r="C18" s="36" t="s">
        <v>30</v>
      </c>
      <c r="D18" s="35"/>
      <c r="E18" s="35">
        <v>21</v>
      </c>
      <c r="F18" s="35"/>
      <c r="G18" s="35">
        <f>100/(1-E18/100)</f>
        <v>126.58227848101265</v>
      </c>
      <c r="H18" s="35"/>
      <c r="I18" s="37">
        <v>100</v>
      </c>
      <c r="J18" s="37"/>
      <c r="K18" s="35" t="s">
        <v>34</v>
      </c>
      <c r="L18" s="35"/>
      <c r="M18" s="43">
        <v>0</v>
      </c>
      <c r="N18" s="35"/>
      <c r="O18" s="35"/>
      <c r="P18" s="35"/>
      <c r="Q18" s="35"/>
      <c r="R18" s="35"/>
      <c r="S18" s="35"/>
      <c r="T18" s="35"/>
      <c r="U18" s="43">
        <f>+(M18/100)*MAX(I18,O18)-S18</f>
        <v>0</v>
      </c>
      <c r="V18" s="43"/>
      <c r="W18" s="43">
        <f>(U18+(G18-I18))/G18*100</f>
        <v>20.999999999999996</v>
      </c>
      <c r="X18" s="43"/>
      <c r="Y18" s="44">
        <f t="shared" si="2"/>
        <v>100</v>
      </c>
      <c r="Z18" s="43"/>
      <c r="AA18" s="43">
        <f t="shared" si="3"/>
        <v>0</v>
      </c>
    </row>
    <row r="19" spans="1:27" ht="12.75">
      <c r="A19" s="12" t="s">
        <v>88</v>
      </c>
      <c r="B19" s="40"/>
      <c r="C19" s="39" t="s">
        <v>25</v>
      </c>
      <c r="D19" s="40"/>
      <c r="E19" s="40">
        <v>26</v>
      </c>
      <c r="F19" s="40"/>
      <c r="G19" s="40">
        <f t="shared" si="0"/>
        <v>135.13513513513513</v>
      </c>
      <c r="H19" s="40"/>
      <c r="I19" s="41">
        <v>100</v>
      </c>
      <c r="J19" s="41"/>
      <c r="K19" s="40"/>
      <c r="L19" s="40"/>
      <c r="M19" s="38">
        <v>28</v>
      </c>
      <c r="N19" s="40"/>
      <c r="O19" s="40"/>
      <c r="P19" s="40"/>
      <c r="Q19" s="40"/>
      <c r="R19" s="40"/>
      <c r="S19" s="40"/>
      <c r="T19" s="40"/>
      <c r="U19" s="38">
        <f>I19*0.7*M19/100</f>
        <v>19.6</v>
      </c>
      <c r="V19" s="38"/>
      <c r="W19" s="38">
        <f t="shared" si="1"/>
        <v>40.504</v>
      </c>
      <c r="X19" s="38"/>
      <c r="Y19" s="38">
        <f t="shared" si="2"/>
        <v>64.19119099348211</v>
      </c>
      <c r="Z19" s="38"/>
      <c r="AA19" s="38">
        <f t="shared" si="3"/>
        <v>35.808809006517876</v>
      </c>
    </row>
    <row r="20" spans="1:27" ht="12.75">
      <c r="A20" s="42" t="s">
        <v>89</v>
      </c>
      <c r="B20" s="40"/>
      <c r="C20" s="39" t="s">
        <v>25</v>
      </c>
      <c r="D20" s="40"/>
      <c r="E20" s="40">
        <v>34.43</v>
      </c>
      <c r="F20" s="40"/>
      <c r="G20" s="40">
        <f>100/(1-E20/100)</f>
        <v>152.50876925423213</v>
      </c>
      <c r="H20" s="40"/>
      <c r="I20" s="41">
        <v>100</v>
      </c>
      <c r="J20" s="41"/>
      <c r="K20" s="40"/>
      <c r="L20" s="40"/>
      <c r="M20" s="38">
        <f>19+12.3+4</f>
        <v>35.3</v>
      </c>
      <c r="N20" s="40"/>
      <c r="O20" s="40"/>
      <c r="P20" s="40"/>
      <c r="Q20" s="40"/>
      <c r="R20" s="40"/>
      <c r="S20" s="40"/>
      <c r="T20" s="40"/>
      <c r="U20" s="38">
        <f>+(M20/100)*MAX(I20,O20)-S20</f>
        <v>35.3</v>
      </c>
      <c r="V20" s="38"/>
      <c r="W20" s="38">
        <f t="shared" si="1"/>
        <v>57.57621</v>
      </c>
      <c r="X20" s="38"/>
      <c r="Y20" s="38">
        <f t="shared" si="2"/>
        <v>59.799003789933394</v>
      </c>
      <c r="Z20" s="38"/>
      <c r="AA20" s="38">
        <f t="shared" si="3"/>
        <v>40.20099621006661</v>
      </c>
    </row>
    <row r="21" spans="1:27" ht="12.75">
      <c r="A21" s="12" t="s">
        <v>9</v>
      </c>
      <c r="B21" s="40"/>
      <c r="C21" s="39" t="s">
        <v>4</v>
      </c>
      <c r="D21" s="40"/>
      <c r="E21" s="40">
        <v>30.175</v>
      </c>
      <c r="F21" s="40"/>
      <c r="G21" s="40">
        <f t="shared" si="0"/>
        <v>143.21518080916576</v>
      </c>
      <c r="H21" s="40"/>
      <c r="I21" s="41">
        <v>100</v>
      </c>
      <c r="J21" s="41"/>
      <c r="K21" s="40">
        <v>26.375</v>
      </c>
      <c r="L21" s="40"/>
      <c r="M21" s="38">
        <v>26.375</v>
      </c>
      <c r="N21" s="40"/>
      <c r="O21" s="40"/>
      <c r="P21" s="40"/>
      <c r="Q21" s="40"/>
      <c r="R21" s="40"/>
      <c r="S21" s="40"/>
      <c r="T21" s="40"/>
      <c r="U21" s="38">
        <v>26.375</v>
      </c>
      <c r="V21" s="38"/>
      <c r="W21" s="38">
        <f t="shared" si="1"/>
        <v>48.59134374999999</v>
      </c>
      <c r="X21" s="38"/>
      <c r="Y21" s="38">
        <f t="shared" si="2"/>
        <v>62.09953804786474</v>
      </c>
      <c r="Z21" s="38"/>
      <c r="AA21" s="38">
        <f t="shared" si="3"/>
        <v>37.90046195213526</v>
      </c>
    </row>
    <row r="22" spans="1:27" ht="12.75">
      <c r="A22" s="34" t="s">
        <v>10</v>
      </c>
      <c r="B22" s="35"/>
      <c r="C22" s="36" t="s">
        <v>4</v>
      </c>
      <c r="D22" s="35"/>
      <c r="E22" s="35">
        <v>20</v>
      </c>
      <c r="F22" s="35"/>
      <c r="G22" s="35">
        <f t="shared" si="0"/>
        <v>125</v>
      </c>
      <c r="H22" s="35"/>
      <c r="I22" s="37">
        <v>100</v>
      </c>
      <c r="J22" s="37"/>
      <c r="K22" s="35">
        <v>21</v>
      </c>
      <c r="L22" s="35"/>
      <c r="M22" s="35">
        <v>21</v>
      </c>
      <c r="N22" s="35"/>
      <c r="O22" s="35"/>
      <c r="P22" s="35"/>
      <c r="Q22" s="35"/>
      <c r="R22" s="35"/>
      <c r="S22" s="35"/>
      <c r="T22" s="35"/>
      <c r="U22" s="35">
        <v>21</v>
      </c>
      <c r="V22" s="35"/>
      <c r="W22" s="35">
        <f>((G22-I22+U22)/G22)*100</f>
        <v>36.8</v>
      </c>
      <c r="X22" s="35"/>
      <c r="Y22" s="35">
        <f t="shared" si="2"/>
        <v>54.347826086956516</v>
      </c>
      <c r="Z22" s="35"/>
      <c r="AA22" s="35">
        <f t="shared" si="3"/>
        <v>45.65217391304348</v>
      </c>
    </row>
    <row r="23" spans="1:27" ht="12.75">
      <c r="A23" s="12" t="s">
        <v>37</v>
      </c>
      <c r="C23" s="39" t="s">
        <v>27</v>
      </c>
      <c r="D23" s="40"/>
      <c r="E23" s="40">
        <v>19</v>
      </c>
      <c r="F23" s="40"/>
      <c r="G23" s="40">
        <f t="shared" si="0"/>
        <v>123.45679012345678</v>
      </c>
      <c r="H23" s="40"/>
      <c r="I23" s="41">
        <v>100</v>
      </c>
      <c r="J23" s="41"/>
      <c r="K23" s="40"/>
      <c r="L23" s="40"/>
      <c r="M23" s="38">
        <v>16</v>
      </c>
      <c r="N23" s="40"/>
      <c r="O23" s="40"/>
      <c r="P23" s="40"/>
      <c r="Q23" s="40"/>
      <c r="R23" s="40"/>
      <c r="S23" s="40"/>
      <c r="T23" s="40"/>
      <c r="U23" s="38">
        <f aca="true" t="shared" si="4" ref="U23:U29">+(M23/100)*MAX(I23,O23)-S23</f>
        <v>16</v>
      </c>
      <c r="V23" s="38"/>
      <c r="W23" s="38">
        <f>(G23-I23+U23)/G23*100</f>
        <v>31.959999999999994</v>
      </c>
      <c r="X23" s="38"/>
      <c r="Y23" s="38">
        <f aca="true" t="shared" si="5" ref="Y23:Y38">((G23-I23)/((G23-I23)+U23))*100</f>
        <v>59.44931163954943</v>
      </c>
      <c r="Z23" s="38"/>
      <c r="AA23" s="38">
        <f aca="true" t="shared" si="6" ref="AA23:AA38">(U23/((G23-I23)+U23))*100</f>
        <v>40.55068836045057</v>
      </c>
    </row>
    <row r="24" spans="1:27" ht="12.75">
      <c r="A24" s="34" t="s">
        <v>108</v>
      </c>
      <c r="B24" s="35"/>
      <c r="C24" s="36" t="s">
        <v>4</v>
      </c>
      <c r="D24" s="35"/>
      <c r="E24" s="35">
        <v>20</v>
      </c>
      <c r="F24" s="35"/>
      <c r="G24" s="35">
        <f t="shared" si="0"/>
        <v>125</v>
      </c>
      <c r="H24" s="35"/>
      <c r="I24" s="37">
        <v>100</v>
      </c>
      <c r="J24" s="37"/>
      <c r="K24" s="35"/>
      <c r="L24" s="35"/>
      <c r="M24" s="35">
        <v>20</v>
      </c>
      <c r="N24" s="35"/>
      <c r="O24" s="35"/>
      <c r="P24" s="35"/>
      <c r="Q24" s="35"/>
      <c r="R24" s="35"/>
      <c r="S24" s="35"/>
      <c r="T24" s="35"/>
      <c r="U24" s="35">
        <f t="shared" si="4"/>
        <v>20</v>
      </c>
      <c r="V24" s="35"/>
      <c r="W24" s="35">
        <f>(G24-I24+U24)/G24*100</f>
        <v>36</v>
      </c>
      <c r="X24" s="35"/>
      <c r="Y24" s="35">
        <f t="shared" si="5"/>
        <v>55.55555555555556</v>
      </c>
      <c r="Z24" s="35"/>
      <c r="AA24" s="35">
        <f t="shared" si="6"/>
        <v>44.44444444444444</v>
      </c>
    </row>
    <row r="25" spans="1:27" ht="12.75">
      <c r="A25" s="42" t="s">
        <v>12</v>
      </c>
      <c r="B25" s="40"/>
      <c r="C25" s="39" t="s">
        <v>4</v>
      </c>
      <c r="D25" s="40"/>
      <c r="E25" s="40">
        <v>12.5</v>
      </c>
      <c r="F25" s="40"/>
      <c r="G25" s="40">
        <f t="shared" si="0"/>
        <v>114.28571428571429</v>
      </c>
      <c r="H25" s="40"/>
      <c r="I25" s="41">
        <v>100</v>
      </c>
      <c r="J25" s="41"/>
      <c r="K25" s="40"/>
      <c r="L25" s="40"/>
      <c r="M25" s="38">
        <v>48</v>
      </c>
      <c r="N25" s="40"/>
      <c r="O25" s="40"/>
      <c r="P25" s="40"/>
      <c r="Q25" s="40"/>
      <c r="R25" s="40"/>
      <c r="S25" s="40"/>
      <c r="T25" s="40"/>
      <c r="U25" s="38">
        <f t="shared" si="4"/>
        <v>48</v>
      </c>
      <c r="V25" s="38"/>
      <c r="W25" s="38">
        <f t="shared" si="1"/>
        <v>54.50000000000001</v>
      </c>
      <c r="X25" s="38"/>
      <c r="Y25" s="38">
        <f t="shared" si="5"/>
        <v>22.93577981651377</v>
      </c>
      <c r="Z25" s="38"/>
      <c r="AA25" s="38">
        <f t="shared" si="6"/>
        <v>77.06422018348623</v>
      </c>
    </row>
    <row r="26" spans="1:27" ht="12.75">
      <c r="A26" s="42" t="s">
        <v>43</v>
      </c>
      <c r="B26" s="40"/>
      <c r="C26" s="39" t="s">
        <v>29</v>
      </c>
      <c r="D26" s="40"/>
      <c r="E26" s="40">
        <v>24</v>
      </c>
      <c r="F26" s="40"/>
      <c r="G26" s="40">
        <f t="shared" si="0"/>
        <v>131.57894736842104</v>
      </c>
      <c r="H26" s="40"/>
      <c r="I26" s="41">
        <v>100</v>
      </c>
      <c r="J26" s="41"/>
      <c r="K26" s="40"/>
      <c r="L26" s="40"/>
      <c r="M26" s="38">
        <v>25</v>
      </c>
      <c r="N26" s="40"/>
      <c r="O26" s="40"/>
      <c r="P26" s="40"/>
      <c r="Q26" s="40"/>
      <c r="R26" s="40"/>
      <c r="S26" s="40"/>
      <c r="T26" s="40"/>
      <c r="U26" s="38">
        <f t="shared" si="4"/>
        <v>25</v>
      </c>
      <c r="V26" s="38"/>
      <c r="W26" s="38">
        <f t="shared" si="1"/>
        <v>42.99999999999999</v>
      </c>
      <c r="X26" s="38"/>
      <c r="Y26" s="38">
        <f t="shared" si="5"/>
        <v>55.81395348837208</v>
      </c>
      <c r="Z26" s="38"/>
      <c r="AA26" s="38">
        <f t="shared" si="6"/>
        <v>44.18604651162792</v>
      </c>
    </row>
    <row r="27" spans="1:27" ht="12.75">
      <c r="A27" s="42" t="s">
        <v>90</v>
      </c>
      <c r="B27" s="40"/>
      <c r="C27" s="39" t="s">
        <v>38</v>
      </c>
      <c r="D27" s="40"/>
      <c r="E27" s="40">
        <v>27.5</v>
      </c>
      <c r="F27" s="40"/>
      <c r="G27" s="40">
        <f aca="true" t="shared" si="7" ref="G27:G33">100/(1-E27/100)</f>
        <v>137.93103448275863</v>
      </c>
      <c r="H27" s="40"/>
      <c r="I27" s="41">
        <v>100</v>
      </c>
      <c r="J27" s="41"/>
      <c r="K27" s="40">
        <v>12.5</v>
      </c>
      <c r="L27" s="40"/>
      <c r="M27" s="38">
        <v>12.5</v>
      </c>
      <c r="N27" s="40"/>
      <c r="O27" s="40"/>
      <c r="P27" s="40"/>
      <c r="Q27" s="40"/>
      <c r="R27" s="40"/>
      <c r="S27" s="40"/>
      <c r="T27" s="40"/>
      <c r="U27" s="38">
        <f t="shared" si="4"/>
        <v>12.5</v>
      </c>
      <c r="V27" s="38"/>
      <c r="W27" s="38">
        <f>(G27-I27+U27)/G27*100</f>
        <v>36.5625</v>
      </c>
      <c r="X27" s="38"/>
      <c r="Y27" s="38">
        <f t="shared" si="5"/>
        <v>75.21367521367523</v>
      </c>
      <c r="Z27" s="38"/>
      <c r="AA27" s="38">
        <f t="shared" si="6"/>
        <v>24.78632478632478</v>
      </c>
    </row>
    <row r="28" spans="1:28" ht="12.75">
      <c r="A28" s="42" t="s">
        <v>91</v>
      </c>
      <c r="B28" s="40"/>
      <c r="C28" s="39" t="s">
        <v>29</v>
      </c>
      <c r="D28" s="40"/>
      <c r="E28" s="40">
        <v>39.54</v>
      </c>
      <c r="F28" s="40"/>
      <c r="G28" s="40">
        <f t="shared" si="7"/>
        <v>165.3986106516705</v>
      </c>
      <c r="H28" s="40"/>
      <c r="I28" s="41">
        <v>100</v>
      </c>
      <c r="J28" s="41"/>
      <c r="K28" s="40">
        <v>10</v>
      </c>
      <c r="L28" s="40"/>
      <c r="M28" s="38">
        <v>10</v>
      </c>
      <c r="N28" s="40"/>
      <c r="O28" s="40"/>
      <c r="P28" s="40"/>
      <c r="Q28" s="40"/>
      <c r="R28" s="40"/>
      <c r="S28" s="40"/>
      <c r="T28" s="40"/>
      <c r="U28" s="38">
        <f t="shared" si="4"/>
        <v>10</v>
      </c>
      <c r="V28" s="38"/>
      <c r="W28" s="38">
        <f>(G28-I28+U28)/G28*100</f>
        <v>45.58599999999999</v>
      </c>
      <c r="X28" s="38"/>
      <c r="Y28" s="38">
        <f t="shared" si="5"/>
        <v>86.7371561444303</v>
      </c>
      <c r="Z28" s="38"/>
      <c r="AA28" s="38">
        <f t="shared" si="6"/>
        <v>13.262843855569695</v>
      </c>
      <c r="AB28" s="40"/>
    </row>
    <row r="29" spans="1:27" ht="12.75">
      <c r="A29" s="42" t="s">
        <v>15</v>
      </c>
      <c r="B29" s="40"/>
      <c r="C29" s="39" t="s">
        <v>6</v>
      </c>
      <c r="D29" s="40"/>
      <c r="E29" s="40">
        <v>24.2</v>
      </c>
      <c r="F29" s="40"/>
      <c r="G29" s="40">
        <f t="shared" si="7"/>
        <v>131.92612137203167</v>
      </c>
      <c r="H29" s="40"/>
      <c r="I29" s="41">
        <v>100</v>
      </c>
      <c r="J29" s="41"/>
      <c r="K29" s="40"/>
      <c r="L29" s="40"/>
      <c r="M29" s="38">
        <v>38.5</v>
      </c>
      <c r="N29" s="40"/>
      <c r="O29" s="40">
        <v>112</v>
      </c>
      <c r="P29" s="40"/>
      <c r="Q29" s="40">
        <f>(O29-100)/O29*100</f>
        <v>10.714285714285714</v>
      </c>
      <c r="R29" s="40"/>
      <c r="S29" s="40">
        <f>+O29*Q29/100</f>
        <v>12</v>
      </c>
      <c r="T29" s="40"/>
      <c r="U29" s="38">
        <f t="shared" si="4"/>
        <v>31.120000000000005</v>
      </c>
      <c r="V29" s="38"/>
      <c r="W29" s="38">
        <f t="shared" si="1"/>
        <v>47.78896000000001</v>
      </c>
      <c r="X29" s="38"/>
      <c r="Y29" s="38">
        <f t="shared" si="5"/>
        <v>50.63931083664512</v>
      </c>
      <c r="Z29" s="38"/>
      <c r="AA29" s="38">
        <f t="shared" si="6"/>
        <v>49.36068916335488</v>
      </c>
    </row>
    <row r="30" spans="1:27" ht="12.75">
      <c r="A30" s="42" t="s">
        <v>16</v>
      </c>
      <c r="B30" s="40"/>
      <c r="C30" s="39" t="s">
        <v>25</v>
      </c>
      <c r="D30" s="40"/>
      <c r="E30" s="40">
        <v>28.8</v>
      </c>
      <c r="F30" s="40"/>
      <c r="G30" s="40">
        <f t="shared" si="7"/>
        <v>140.4494382022472</v>
      </c>
      <c r="H30" s="40"/>
      <c r="I30" s="41">
        <v>100</v>
      </c>
      <c r="J30" s="41"/>
      <c r="K30" s="40"/>
      <c r="L30" s="40"/>
      <c r="M30" s="38">
        <v>38.95</v>
      </c>
      <c r="N30" s="40"/>
      <c r="O30" s="40"/>
      <c r="P30" s="40"/>
      <c r="Q30" s="40"/>
      <c r="R30" s="40"/>
      <c r="S30" s="40"/>
      <c r="T30" s="40"/>
      <c r="U30" s="38">
        <f>I30/2*M30/100</f>
        <v>19.475</v>
      </c>
      <c r="V30" s="38"/>
      <c r="W30" s="38">
        <f t="shared" si="1"/>
        <v>42.6662</v>
      </c>
      <c r="X30" s="38"/>
      <c r="Y30" s="38">
        <f t="shared" si="5"/>
        <v>67.50073828932503</v>
      </c>
      <c r="Z30" s="38"/>
      <c r="AA30" s="38">
        <f t="shared" si="6"/>
        <v>32.49926171067496</v>
      </c>
    </row>
    <row r="31" spans="1:27" ht="12.75">
      <c r="A31" s="42" t="s">
        <v>35</v>
      </c>
      <c r="B31" s="40"/>
      <c r="C31" s="39" t="s">
        <v>2</v>
      </c>
      <c r="D31" s="40"/>
      <c r="E31" s="40">
        <v>30</v>
      </c>
      <c r="F31" s="40"/>
      <c r="G31" s="40">
        <f t="shared" si="7"/>
        <v>142.85714285714286</v>
      </c>
      <c r="H31" s="40"/>
      <c r="I31" s="41">
        <v>100</v>
      </c>
      <c r="J31" s="41"/>
      <c r="K31" s="40"/>
      <c r="L31" s="40"/>
      <c r="M31" s="38">
        <v>30</v>
      </c>
      <c r="N31" s="40"/>
      <c r="O31" s="40">
        <f>100/(1-M31/100)</f>
        <v>142.85714285714286</v>
      </c>
      <c r="P31" s="40"/>
      <c r="Q31" s="40">
        <f>+((G31-100)/G31)*100</f>
        <v>30.000000000000004</v>
      </c>
      <c r="R31" s="40"/>
      <c r="S31" s="40">
        <f>I31*(Q31/(100-Q31))</f>
        <v>42.85714285714286</v>
      </c>
      <c r="T31" s="40"/>
      <c r="U31" s="38">
        <f>((Q31/100)*O31)-S31</f>
        <v>0</v>
      </c>
      <c r="V31" s="38"/>
      <c r="W31" s="38">
        <f>(G31-I31+U31)/G31*100</f>
        <v>30.000000000000004</v>
      </c>
      <c r="X31" s="38"/>
      <c r="Y31" s="38">
        <f t="shared" si="5"/>
        <v>100</v>
      </c>
      <c r="Z31" s="38"/>
      <c r="AA31" s="38">
        <f t="shared" si="6"/>
        <v>0</v>
      </c>
    </row>
    <row r="32" spans="1:27" ht="12.75">
      <c r="A32" s="42" t="s">
        <v>99</v>
      </c>
      <c r="B32" s="40"/>
      <c r="C32" s="39" t="s">
        <v>4</v>
      </c>
      <c r="D32" s="40"/>
      <c r="E32" s="40">
        <v>25</v>
      </c>
      <c r="F32" s="40"/>
      <c r="G32" s="40">
        <f t="shared" si="7"/>
        <v>133.33333333333334</v>
      </c>
      <c r="H32" s="40"/>
      <c r="I32" s="41">
        <v>100</v>
      </c>
      <c r="J32" s="41"/>
      <c r="K32" s="40"/>
      <c r="L32" s="40"/>
      <c r="M32" s="38">
        <v>25</v>
      </c>
      <c r="N32" s="40"/>
      <c r="O32" s="40"/>
      <c r="P32" s="40"/>
      <c r="Q32" s="40"/>
      <c r="R32" s="40"/>
      <c r="S32" s="40"/>
      <c r="T32" s="40"/>
      <c r="U32" s="38">
        <f>+(M32/100)*MAX(I32,O32)-S32</f>
        <v>25</v>
      </c>
      <c r="V32" s="38"/>
      <c r="W32" s="38">
        <f>(G32-I32+U32)/G32*100</f>
        <v>43.75000000000001</v>
      </c>
      <c r="X32" s="38"/>
      <c r="Y32" s="38">
        <f t="shared" si="5"/>
        <v>57.14285714285715</v>
      </c>
      <c r="Z32" s="38"/>
      <c r="AA32" s="38">
        <f t="shared" si="6"/>
        <v>42.85714285714285</v>
      </c>
    </row>
    <row r="33" spans="1:27" ht="12.75">
      <c r="A33" s="42" t="s">
        <v>100</v>
      </c>
      <c r="B33" s="40"/>
      <c r="C33" s="39" t="s">
        <v>2</v>
      </c>
      <c r="D33" s="40"/>
      <c r="E33" s="40">
        <v>28</v>
      </c>
      <c r="F33" s="40"/>
      <c r="G33" s="40">
        <f t="shared" si="7"/>
        <v>138.88888888888889</v>
      </c>
      <c r="H33" s="40"/>
      <c r="I33" s="41">
        <v>100</v>
      </c>
      <c r="J33" s="41"/>
      <c r="K33" s="40"/>
      <c r="L33" s="40"/>
      <c r="M33" s="38">
        <v>33</v>
      </c>
      <c r="N33" s="40"/>
      <c r="O33" s="40">
        <f>I33/(1-E33/100)</f>
        <v>138.88888888888889</v>
      </c>
      <c r="P33" s="40"/>
      <c r="Q33" s="40">
        <f>(O33-100)/O33*100</f>
        <v>27.999999999999996</v>
      </c>
      <c r="R33" s="40"/>
      <c r="S33" s="40">
        <f>+I33*(Q33/(100-Q33))</f>
        <v>38.888888888888886</v>
      </c>
      <c r="T33" s="40"/>
      <c r="U33" s="38">
        <f>+(M33/100)*MAX(I33,O33)-S33</f>
        <v>6.94444444444445</v>
      </c>
      <c r="V33" s="38"/>
      <c r="W33" s="38">
        <f>(G33-I33+U33)/G33*100</f>
        <v>33</v>
      </c>
      <c r="X33" s="38"/>
      <c r="Y33" s="38">
        <f>((G33-I33)/((G33-I33)+U33))*100</f>
        <v>84.84848484848484</v>
      </c>
      <c r="Z33" s="38"/>
      <c r="AA33" s="38">
        <f>(U33/((G33-I33)+U33))*100</f>
        <v>15.151515151515163</v>
      </c>
    </row>
    <row r="34" spans="1:27" ht="12.75">
      <c r="A34" s="42" t="s">
        <v>101</v>
      </c>
      <c r="B34" s="40"/>
      <c r="C34" s="39" t="s">
        <v>27</v>
      </c>
      <c r="D34" s="40"/>
      <c r="E34" s="40">
        <v>28</v>
      </c>
      <c r="F34" s="40"/>
      <c r="G34" s="40">
        <f t="shared" si="0"/>
        <v>138.88888888888889</v>
      </c>
      <c r="H34" s="40"/>
      <c r="I34" s="41">
        <v>100</v>
      </c>
      <c r="J34" s="41"/>
      <c r="K34" s="40"/>
      <c r="L34" s="40"/>
      <c r="M34" s="38">
        <v>28</v>
      </c>
      <c r="N34" s="40"/>
      <c r="O34" s="40"/>
      <c r="P34" s="40"/>
      <c r="Q34" s="40"/>
      <c r="R34" s="40"/>
      <c r="S34" s="40"/>
      <c r="T34" s="40"/>
      <c r="U34" s="38">
        <f aca="true" t="shared" si="8" ref="U34:U41">+(M34/100)*MAX(I34,O34)-S34</f>
        <v>28.000000000000004</v>
      </c>
      <c r="V34" s="38"/>
      <c r="W34" s="38">
        <f>(G34-I34+U34)/G34*100</f>
        <v>48.16</v>
      </c>
      <c r="X34" s="38"/>
      <c r="Y34" s="38">
        <f t="shared" si="5"/>
        <v>58.139534883720934</v>
      </c>
      <c r="Z34" s="38"/>
      <c r="AA34" s="38">
        <f t="shared" si="6"/>
        <v>41.86046511627908</v>
      </c>
    </row>
    <row r="35" spans="1:27" ht="12.75">
      <c r="A35" s="42" t="s">
        <v>36</v>
      </c>
      <c r="B35" s="40"/>
      <c r="C35" s="39" t="s">
        <v>29</v>
      </c>
      <c r="D35" s="40"/>
      <c r="E35" s="40">
        <v>19</v>
      </c>
      <c r="F35" s="40"/>
      <c r="G35" s="40">
        <f t="shared" si="0"/>
        <v>123.45679012345678</v>
      </c>
      <c r="H35" s="40"/>
      <c r="I35" s="41">
        <v>100</v>
      </c>
      <c r="J35" s="41"/>
      <c r="K35" s="40">
        <v>19</v>
      </c>
      <c r="L35" s="40">
        <v>15</v>
      </c>
      <c r="M35" s="38">
        <v>19</v>
      </c>
      <c r="N35" s="40"/>
      <c r="O35" s="40"/>
      <c r="P35" s="40"/>
      <c r="Q35" s="40"/>
      <c r="R35" s="40"/>
      <c r="S35" s="40"/>
      <c r="T35" s="40"/>
      <c r="U35" s="38">
        <f t="shared" si="8"/>
        <v>19</v>
      </c>
      <c r="V35" s="38"/>
      <c r="W35" s="38">
        <f t="shared" si="1"/>
        <v>34.39</v>
      </c>
      <c r="X35" s="38"/>
      <c r="Y35" s="38">
        <f t="shared" si="5"/>
        <v>55.24861878453038</v>
      </c>
      <c r="Z35" s="38"/>
      <c r="AA35" s="38">
        <f t="shared" si="6"/>
        <v>44.75138121546962</v>
      </c>
    </row>
    <row r="36" spans="1:27" ht="12.75">
      <c r="A36" s="42" t="s">
        <v>109</v>
      </c>
      <c r="B36" s="40"/>
      <c r="C36" s="39" t="s">
        <v>29</v>
      </c>
      <c r="D36" s="40"/>
      <c r="E36" s="40">
        <v>28.5</v>
      </c>
      <c r="F36" s="40"/>
      <c r="G36" s="40">
        <f t="shared" si="0"/>
        <v>139.86013986013984</v>
      </c>
      <c r="H36" s="40"/>
      <c r="I36" s="41">
        <v>100</v>
      </c>
      <c r="J36" s="41"/>
      <c r="K36" s="40">
        <v>21.5</v>
      </c>
      <c r="L36" s="40"/>
      <c r="M36" s="38">
        <v>21.5</v>
      </c>
      <c r="N36" s="40"/>
      <c r="O36" s="40"/>
      <c r="P36" s="40"/>
      <c r="Q36" s="40"/>
      <c r="R36" s="40"/>
      <c r="S36" s="40"/>
      <c r="T36" s="40"/>
      <c r="U36" s="38">
        <f t="shared" si="8"/>
        <v>21.5</v>
      </c>
      <c r="V36" s="38"/>
      <c r="W36" s="38">
        <f t="shared" si="1"/>
        <v>43.872499999999995</v>
      </c>
      <c r="X36" s="38"/>
      <c r="Y36" s="38">
        <f t="shared" si="5"/>
        <v>64.960966436834</v>
      </c>
      <c r="Z36" s="38"/>
      <c r="AA36" s="38">
        <f t="shared" si="6"/>
        <v>35.03903356316601</v>
      </c>
    </row>
    <row r="37" spans="1:27" ht="12.75">
      <c r="A37" s="34" t="s">
        <v>21</v>
      </c>
      <c r="B37" s="35"/>
      <c r="C37" s="36" t="s">
        <v>30</v>
      </c>
      <c r="D37" s="35"/>
      <c r="E37" s="35">
        <v>19</v>
      </c>
      <c r="F37" s="35"/>
      <c r="G37" s="35">
        <f t="shared" si="0"/>
        <v>123.45679012345678</v>
      </c>
      <c r="H37" s="35"/>
      <c r="I37" s="41">
        <v>100</v>
      </c>
      <c r="J37" s="37"/>
      <c r="K37" s="35"/>
      <c r="L37" s="35"/>
      <c r="M37" s="35">
        <v>0</v>
      </c>
      <c r="N37" s="35"/>
      <c r="O37" s="35"/>
      <c r="P37" s="35"/>
      <c r="Q37" s="35"/>
      <c r="R37" s="35"/>
      <c r="S37" s="35"/>
      <c r="T37" s="35"/>
      <c r="U37" s="38">
        <f t="shared" si="8"/>
        <v>0</v>
      </c>
      <c r="V37" s="38"/>
      <c r="W37" s="38">
        <f t="shared" si="1"/>
        <v>18.999999999999996</v>
      </c>
      <c r="X37" s="38"/>
      <c r="Y37" s="38">
        <f t="shared" si="5"/>
        <v>100</v>
      </c>
      <c r="Z37" s="38"/>
      <c r="AA37" s="38">
        <f t="shared" si="6"/>
        <v>0</v>
      </c>
    </row>
    <row r="38" spans="1:27" ht="12.75">
      <c r="A38" s="42" t="s">
        <v>42</v>
      </c>
      <c r="B38" s="40"/>
      <c r="C38" s="39" t="s">
        <v>4</v>
      </c>
      <c r="D38" s="40"/>
      <c r="E38" s="40">
        <v>20</v>
      </c>
      <c r="F38" s="40"/>
      <c r="G38" s="40">
        <v>125</v>
      </c>
      <c r="H38" s="40"/>
      <c r="I38" s="41">
        <v>100</v>
      </c>
      <c r="J38" s="41"/>
      <c r="K38" s="40"/>
      <c r="L38" s="40"/>
      <c r="M38" s="38">
        <v>20</v>
      </c>
      <c r="N38" s="40"/>
      <c r="O38" s="40"/>
      <c r="P38" s="40"/>
      <c r="Q38" s="40"/>
      <c r="R38" s="40"/>
      <c r="S38" s="40"/>
      <c r="T38" s="40"/>
      <c r="U38" s="38">
        <f t="shared" si="8"/>
        <v>20</v>
      </c>
      <c r="V38" s="38"/>
      <c r="W38" s="38">
        <f t="shared" si="1"/>
        <v>36</v>
      </c>
      <c r="X38" s="38"/>
      <c r="Y38" s="38">
        <f t="shared" si="5"/>
        <v>55.55555555555556</v>
      </c>
      <c r="Z38" s="38"/>
      <c r="AA38" s="38">
        <f t="shared" si="6"/>
        <v>44.44444444444444</v>
      </c>
    </row>
    <row r="39" spans="1:27" ht="12.75">
      <c r="A39" s="42" t="s">
        <v>110</v>
      </c>
      <c r="B39" s="40"/>
      <c r="C39" s="39" t="s">
        <v>29</v>
      </c>
      <c r="D39" s="40"/>
      <c r="E39" s="40">
        <v>30</v>
      </c>
      <c r="F39" s="40"/>
      <c r="G39" s="40">
        <f>100/(1-E39/100)</f>
        <v>142.85714285714286</v>
      </c>
      <c r="H39" s="40"/>
      <c r="I39" s="41">
        <v>100</v>
      </c>
      <c r="J39" s="41"/>
      <c r="K39" s="40"/>
      <c r="L39" s="40"/>
      <c r="M39" s="38">
        <v>19</v>
      </c>
      <c r="N39" s="40"/>
      <c r="O39" s="40"/>
      <c r="P39" s="40"/>
      <c r="Q39" s="40"/>
      <c r="R39" s="40"/>
      <c r="S39" s="40"/>
      <c r="T39" s="40"/>
      <c r="U39" s="38">
        <f>+(M39/100)*MAX(I39,O39)-S39</f>
        <v>19</v>
      </c>
      <c r="V39" s="38"/>
      <c r="W39" s="38">
        <f>(G39-I39+U39)/G39*100</f>
        <v>43.3</v>
      </c>
      <c r="X39" s="38"/>
      <c r="Y39" s="38">
        <f aca="true" t="shared" si="9" ref="Y39:Y44">((G39-I39)/((G39-I39)+U39))*100</f>
        <v>69.28406466512702</v>
      </c>
      <c r="Z39" s="38"/>
      <c r="AA39" s="38">
        <f aca="true" t="shared" si="10" ref="AA39:AA44">(U39/((G39-I39)+U39))*100</f>
        <v>30.71593533487298</v>
      </c>
    </row>
    <row r="40" spans="1:27" ht="12.75">
      <c r="A40" s="42" t="s">
        <v>23</v>
      </c>
      <c r="B40" s="40"/>
      <c r="C40" s="39" t="s">
        <v>4</v>
      </c>
      <c r="D40" s="40"/>
      <c r="E40" s="40">
        <v>26.3</v>
      </c>
      <c r="F40" s="40"/>
      <c r="G40" s="40">
        <f t="shared" si="0"/>
        <v>135.68521031207598</v>
      </c>
      <c r="H40" s="40"/>
      <c r="I40" s="41">
        <v>100</v>
      </c>
      <c r="J40" s="41"/>
      <c r="K40" s="40"/>
      <c r="L40" s="40"/>
      <c r="M40" s="38">
        <v>30</v>
      </c>
      <c r="N40" s="40"/>
      <c r="O40" s="40"/>
      <c r="P40" s="40"/>
      <c r="Q40" s="40"/>
      <c r="R40" s="40"/>
      <c r="S40" s="40"/>
      <c r="T40" s="40"/>
      <c r="U40" s="38">
        <f t="shared" si="8"/>
        <v>30</v>
      </c>
      <c r="V40" s="38"/>
      <c r="W40" s="38">
        <f t="shared" si="1"/>
        <v>48.41</v>
      </c>
      <c r="X40" s="38"/>
      <c r="Y40" s="38">
        <f t="shared" si="9"/>
        <v>54.32761826068994</v>
      </c>
      <c r="Z40" s="38"/>
      <c r="AA40" s="38">
        <f t="shared" si="10"/>
        <v>45.67238173931006</v>
      </c>
    </row>
    <row r="41" spans="1:27" ht="12.75">
      <c r="A41" s="42" t="s">
        <v>111</v>
      </c>
      <c r="B41" s="40"/>
      <c r="C41" s="39" t="s">
        <v>29</v>
      </c>
      <c r="D41" s="40"/>
      <c r="E41" s="40">
        <v>21.17</v>
      </c>
      <c r="F41" s="40"/>
      <c r="G41" s="40">
        <f t="shared" si="0"/>
        <v>126.85525815045034</v>
      </c>
      <c r="H41" s="40"/>
      <c r="I41" s="41">
        <v>100</v>
      </c>
      <c r="J41" s="41"/>
      <c r="K41" s="40"/>
      <c r="L41" s="40"/>
      <c r="M41" s="38">
        <f>(13*0.5)*(1+1.19)+(11.5*0.5)</f>
        <v>19.985</v>
      </c>
      <c r="N41" s="40"/>
      <c r="O41" s="40"/>
      <c r="P41" s="40"/>
      <c r="Q41" s="40"/>
      <c r="R41" s="40"/>
      <c r="S41" s="40"/>
      <c r="T41" s="40"/>
      <c r="U41" s="38">
        <f t="shared" si="8"/>
        <v>19.985</v>
      </c>
      <c r="V41" s="38"/>
      <c r="W41" s="38">
        <f>(G41-I41+U41)/G41*100</f>
        <v>36.924175500000004</v>
      </c>
      <c r="X41" s="38"/>
      <c r="Y41" s="38">
        <f t="shared" si="9"/>
        <v>57.33371080960224</v>
      </c>
      <c r="Z41" s="38"/>
      <c r="AA41" s="38">
        <f t="shared" si="10"/>
        <v>42.66628919039776</v>
      </c>
    </row>
    <row r="42" spans="1:27" ht="12.75">
      <c r="A42" s="42" t="s">
        <v>24</v>
      </c>
      <c r="B42" s="40"/>
      <c r="C42" s="39" t="s">
        <v>25</v>
      </c>
      <c r="D42" s="40"/>
      <c r="E42" s="40">
        <v>20</v>
      </c>
      <c r="F42" s="40"/>
      <c r="G42" s="40">
        <f t="shared" si="0"/>
        <v>125</v>
      </c>
      <c r="H42" s="40"/>
      <c r="I42" s="41">
        <v>100</v>
      </c>
      <c r="J42" s="41"/>
      <c r="K42" s="40"/>
      <c r="L42" s="40"/>
      <c r="M42" s="38">
        <v>35</v>
      </c>
      <c r="N42" s="40"/>
      <c r="O42" s="40"/>
      <c r="P42" s="40"/>
      <c r="Q42" s="40"/>
      <c r="R42" s="40"/>
      <c r="S42" s="40"/>
      <c r="T42" s="40"/>
      <c r="U42" s="38">
        <f>(I42/2*M42/100)-(I42*15/100)+(I42*15/100)</f>
        <v>17.5</v>
      </c>
      <c r="V42" s="38"/>
      <c r="W42" s="38">
        <f>(G42-I42+U42)/G42*100</f>
        <v>34</v>
      </c>
      <c r="X42" s="38"/>
      <c r="Y42" s="38">
        <f t="shared" si="9"/>
        <v>58.82352941176471</v>
      </c>
      <c r="Z42" s="38" t="e">
        <f>(H42-J42)/(H42-J42+L42+V42)*100</f>
        <v>#DIV/0!</v>
      </c>
      <c r="AA42" s="38">
        <f t="shared" si="10"/>
        <v>41.17647058823529</v>
      </c>
    </row>
    <row r="43" spans="1:27" ht="16.5">
      <c r="A43" s="42" t="s">
        <v>112</v>
      </c>
      <c r="B43" s="40"/>
      <c r="C43" s="45" t="s">
        <v>6</v>
      </c>
      <c r="D43" s="46"/>
      <c r="E43" s="40">
        <v>26</v>
      </c>
      <c r="F43" s="40"/>
      <c r="G43" s="40">
        <f t="shared" si="0"/>
        <v>135.13513513513513</v>
      </c>
      <c r="H43" s="40"/>
      <c r="I43" s="41">
        <v>100</v>
      </c>
      <c r="J43" s="41"/>
      <c r="K43" s="40"/>
      <c r="L43" s="40"/>
      <c r="M43" s="38">
        <v>42.5</v>
      </c>
      <c r="N43" s="40"/>
      <c r="O43" s="40">
        <v>111.11</v>
      </c>
      <c r="P43" s="40"/>
      <c r="Q43" s="40">
        <f>(O43-100)/O43*100</f>
        <v>9.99909999099991</v>
      </c>
      <c r="R43" s="40"/>
      <c r="S43" s="40">
        <f>+I43*(Q43/(100-Q43))</f>
        <v>11.110000000000001</v>
      </c>
      <c r="T43" s="40"/>
      <c r="U43" s="38">
        <f>+(M43/100)*MAX(I43,O43)-S43</f>
        <v>36.11175</v>
      </c>
      <c r="V43" s="38"/>
      <c r="W43" s="38">
        <f>(G43-I43+U43)/G43*100</f>
        <v>52.722694999999995</v>
      </c>
      <c r="X43" s="38"/>
      <c r="Y43" s="38">
        <f>((G43-I43)/((G43-I43)+U43))*100</f>
        <v>49.31462627242404</v>
      </c>
      <c r="Z43" s="38"/>
      <c r="AA43" s="38">
        <f>(U43/((G43-I43)+U43))*100</f>
        <v>50.68537372757596</v>
      </c>
    </row>
    <row r="44" spans="1:27" ht="16.5">
      <c r="A44" s="42" t="s">
        <v>113</v>
      </c>
      <c r="B44" s="40"/>
      <c r="C44" s="39" t="s">
        <v>29</v>
      </c>
      <c r="D44" s="40"/>
      <c r="E44" s="40">
        <v>39.19</v>
      </c>
      <c r="F44" s="40"/>
      <c r="G44" s="40">
        <f t="shared" si="0"/>
        <v>164.44663706627196</v>
      </c>
      <c r="H44" s="40"/>
      <c r="I44" s="41">
        <v>100</v>
      </c>
      <c r="J44" s="41"/>
      <c r="K44" s="40"/>
      <c r="L44" s="40"/>
      <c r="M44" s="38">
        <v>21.2</v>
      </c>
      <c r="N44" s="40"/>
      <c r="O44" s="40"/>
      <c r="P44" s="40"/>
      <c r="Q44" s="40"/>
      <c r="R44" s="40"/>
      <c r="S44" s="40"/>
      <c r="T44" s="40"/>
      <c r="U44" s="38">
        <f>+(M44/100)*MAX(I44,O44)-S44</f>
        <v>21.2</v>
      </c>
      <c r="V44" s="38"/>
      <c r="W44" s="38">
        <f>(G44-I44+U44)/G44*100</f>
        <v>52.08171999999999</v>
      </c>
      <c r="X44" s="38"/>
      <c r="Y44" s="38">
        <f t="shared" si="9"/>
        <v>75.24713085512535</v>
      </c>
      <c r="Z44" s="38"/>
      <c r="AA44" s="38">
        <f t="shared" si="10"/>
        <v>24.75286914487464</v>
      </c>
    </row>
    <row r="45" spans="1:27" ht="15.75" thickBot="1">
      <c r="A45" s="28"/>
      <c r="B45" s="28"/>
      <c r="C45" s="28"/>
      <c r="D45" s="28"/>
      <c r="E45" s="28"/>
      <c r="F45" s="28"/>
      <c r="G45" s="28"/>
      <c r="H45" s="28"/>
      <c r="I45" s="28"/>
      <c r="J45" s="28"/>
      <c r="K45" s="28"/>
      <c r="L45" s="28"/>
      <c r="M45" s="28"/>
      <c r="N45" s="28"/>
      <c r="O45" s="28"/>
      <c r="P45" s="28"/>
      <c r="Q45" s="28"/>
      <c r="R45" s="28"/>
      <c r="S45" s="28"/>
      <c r="T45" s="28"/>
      <c r="U45" s="29"/>
      <c r="V45" s="28"/>
      <c r="W45" s="28"/>
      <c r="X45" s="28"/>
      <c r="Y45" s="28"/>
      <c r="Z45" s="28"/>
      <c r="AA45" s="28"/>
    </row>
    <row r="46" ht="15">
      <c r="U46" s="4"/>
    </row>
  </sheetData>
  <sheetProtection/>
  <mergeCells count="13">
    <mergeCell ref="AA5:AA8"/>
    <mergeCell ref="O5:O8"/>
    <mergeCell ref="Q5:Q8"/>
    <mergeCell ref="S5:S8"/>
    <mergeCell ref="U5:U8"/>
    <mergeCell ref="W5:W8"/>
    <mergeCell ref="Y5:Y8"/>
    <mergeCell ref="M5:M8"/>
    <mergeCell ref="C5:C8"/>
    <mergeCell ref="E5:E8"/>
    <mergeCell ref="G5:G8"/>
    <mergeCell ref="I5:I8"/>
    <mergeCell ref="K5:K8"/>
  </mergeCells>
  <printOptions/>
  <pageMargins left="0.25" right="0.25" top="1" bottom="1" header="0.3" footer="0.3"/>
  <pageSetup fitToHeight="1" fitToWidth="1" horizontalDpi="600" verticalDpi="600" orientation="portrait" paperSize="9" scale="4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A46"/>
  <sheetViews>
    <sheetView showGridLines="0" zoomScalePageLayoutView="0" workbookViewId="0" topLeftCell="A47">
      <selection activeCell="A1" sqref="A1:IV65536"/>
    </sheetView>
  </sheetViews>
  <sheetFormatPr defaultColWidth="9.140625" defaultRowHeight="12.75"/>
  <cols>
    <col min="1" max="1" width="16.851562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7.140625" style="2" customWidth="1"/>
    <col min="10" max="10" width="0.85546875" style="2" customWidth="1"/>
    <col min="11" max="11" width="7.710937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421875" style="2" customWidth="1"/>
    <col min="18" max="18" width="0.85546875" style="2" customWidth="1"/>
    <col min="19" max="19" width="12.421875" style="2" customWidth="1"/>
    <col min="20" max="20" width="0.85546875" style="2" customWidth="1"/>
    <col min="21" max="21" width="8.7109375" style="2" customWidth="1"/>
    <col min="22" max="22" width="0.85546875" style="2" customWidth="1"/>
    <col min="23" max="23" width="7.421875" style="2" customWidth="1"/>
    <col min="24" max="24" width="0.9921875" style="2" customWidth="1"/>
    <col min="25" max="25" width="7.7109375" style="2" customWidth="1"/>
    <col min="26" max="26" width="1.28515625" style="2" customWidth="1"/>
    <col min="27" max="27" width="7.8515625" style="2" customWidth="1"/>
    <col min="28" max="28" width="9.140625" style="8" customWidth="1"/>
    <col min="29" max="16384" width="9.140625" style="2" customWidth="1"/>
  </cols>
  <sheetData>
    <row r="1" spans="1:21" ht="12.75">
      <c r="A1" s="1">
        <v>41680</v>
      </c>
      <c r="C1" s="3"/>
      <c r="U1" s="4"/>
    </row>
    <row r="2" spans="1:27" ht="12.75">
      <c r="A2" s="5" t="s">
        <v>114</v>
      </c>
      <c r="B2" s="6"/>
      <c r="C2" s="6"/>
      <c r="D2" s="6"/>
      <c r="E2" s="6"/>
      <c r="F2" s="6"/>
      <c r="G2" s="6"/>
      <c r="H2" s="6"/>
      <c r="I2" s="6"/>
      <c r="J2" s="6"/>
      <c r="K2" s="6"/>
      <c r="L2" s="6"/>
      <c r="M2" s="6"/>
      <c r="N2" s="6"/>
      <c r="O2" s="6"/>
      <c r="P2" s="6"/>
      <c r="Q2" s="6"/>
      <c r="R2" s="6"/>
      <c r="S2" s="6"/>
      <c r="T2" s="6"/>
      <c r="U2" s="6"/>
      <c r="V2" s="6"/>
      <c r="W2" s="6"/>
      <c r="X2" s="6"/>
      <c r="Y2" s="6"/>
      <c r="Z2" s="6"/>
      <c r="AA2" s="6"/>
    </row>
    <row r="3" spans="1:27" ht="13.5" thickBot="1">
      <c r="A3" s="7"/>
      <c r="B3" s="7"/>
      <c r="C3" s="7"/>
      <c r="D3" s="7"/>
      <c r="E3" s="7"/>
      <c r="F3" s="7"/>
      <c r="G3" s="7"/>
      <c r="H3" s="7"/>
      <c r="I3" s="7"/>
      <c r="J3" s="7"/>
      <c r="K3" s="7"/>
      <c r="L3" s="7"/>
      <c r="M3" s="7"/>
      <c r="N3" s="7"/>
      <c r="O3" s="7"/>
      <c r="P3" s="7"/>
      <c r="Q3" s="7"/>
      <c r="R3" s="7"/>
      <c r="S3" s="7"/>
      <c r="T3" s="7"/>
      <c r="U3" s="7"/>
      <c r="V3" s="7"/>
      <c r="W3" s="7"/>
      <c r="X3" s="7"/>
      <c r="Y3" s="7"/>
      <c r="Z3" s="7"/>
      <c r="AA3" s="7"/>
    </row>
    <row r="4" ht="12.75">
      <c r="U4" s="4"/>
    </row>
    <row r="5" spans="1:27" ht="12.75">
      <c r="A5" s="9"/>
      <c r="B5" s="9"/>
      <c r="C5" s="51" t="s">
        <v>0</v>
      </c>
      <c r="D5" s="10"/>
      <c r="E5" s="51" t="s">
        <v>46</v>
      </c>
      <c r="F5" s="11"/>
      <c r="G5" s="51" t="s">
        <v>47</v>
      </c>
      <c r="H5" s="11"/>
      <c r="I5" s="51" t="s">
        <v>48</v>
      </c>
      <c r="J5" s="10"/>
      <c r="K5" s="51" t="s">
        <v>78</v>
      </c>
      <c r="L5" s="11"/>
      <c r="M5" s="51" t="s">
        <v>50</v>
      </c>
      <c r="N5" s="10"/>
      <c r="O5" s="51" t="s">
        <v>51</v>
      </c>
      <c r="P5" s="11"/>
      <c r="Q5" s="51" t="s">
        <v>52</v>
      </c>
      <c r="R5" s="11"/>
      <c r="S5" s="51" t="s">
        <v>53</v>
      </c>
      <c r="T5" s="11"/>
      <c r="U5" s="51" t="s">
        <v>54</v>
      </c>
      <c r="V5" s="10"/>
      <c r="W5" s="51" t="s">
        <v>55</v>
      </c>
      <c r="X5" s="12"/>
      <c r="Y5" s="51" t="s">
        <v>56</v>
      </c>
      <c r="Z5" s="12"/>
      <c r="AA5" s="51" t="s">
        <v>57</v>
      </c>
    </row>
    <row r="6" spans="1:27" ht="12.75">
      <c r="A6" s="12"/>
      <c r="B6" s="9"/>
      <c r="C6" s="52"/>
      <c r="D6" s="10"/>
      <c r="E6" s="52"/>
      <c r="F6" s="11"/>
      <c r="G6" s="52"/>
      <c r="H6" s="11"/>
      <c r="I6" s="52"/>
      <c r="J6" s="10"/>
      <c r="K6" s="52"/>
      <c r="L6" s="11"/>
      <c r="M6" s="52"/>
      <c r="N6" s="13"/>
      <c r="O6" s="52"/>
      <c r="P6" s="11"/>
      <c r="Q6" s="52"/>
      <c r="R6" s="11"/>
      <c r="S6" s="52"/>
      <c r="T6" s="11"/>
      <c r="U6" s="52"/>
      <c r="V6" s="10"/>
      <c r="W6" s="52"/>
      <c r="X6" s="12"/>
      <c r="Y6" s="52"/>
      <c r="Z6" s="12"/>
      <c r="AA6" s="52"/>
    </row>
    <row r="7" spans="1:27" ht="12.75">
      <c r="A7" s="14"/>
      <c r="B7" s="9"/>
      <c r="C7" s="52"/>
      <c r="D7" s="10"/>
      <c r="E7" s="52"/>
      <c r="F7" s="11"/>
      <c r="G7" s="52"/>
      <c r="H7" s="11"/>
      <c r="I7" s="52"/>
      <c r="J7" s="10"/>
      <c r="K7" s="52"/>
      <c r="L7" s="11"/>
      <c r="M7" s="52"/>
      <c r="N7" s="13"/>
      <c r="O7" s="52"/>
      <c r="P7" s="11"/>
      <c r="Q7" s="52"/>
      <c r="R7" s="11"/>
      <c r="S7" s="52"/>
      <c r="T7" s="11"/>
      <c r="U7" s="52"/>
      <c r="V7" s="10"/>
      <c r="W7" s="52"/>
      <c r="X7" s="12"/>
      <c r="Y7" s="52"/>
      <c r="Z7" s="12"/>
      <c r="AA7" s="52"/>
    </row>
    <row r="8" spans="1:27" ht="12.75">
      <c r="A8" s="14" t="s">
        <v>1</v>
      </c>
      <c r="B8" s="9"/>
      <c r="C8" s="52"/>
      <c r="D8" s="10"/>
      <c r="E8" s="52"/>
      <c r="F8" s="11"/>
      <c r="G8" s="52"/>
      <c r="H8" s="11"/>
      <c r="I8" s="52"/>
      <c r="J8" s="10"/>
      <c r="K8" s="52"/>
      <c r="L8" s="11"/>
      <c r="M8" s="52"/>
      <c r="N8" s="13"/>
      <c r="O8" s="52"/>
      <c r="P8" s="11"/>
      <c r="Q8" s="52"/>
      <c r="R8" s="11"/>
      <c r="S8" s="52"/>
      <c r="T8" s="11"/>
      <c r="U8" s="52"/>
      <c r="V8" s="10"/>
      <c r="W8" s="52"/>
      <c r="X8" s="12"/>
      <c r="Y8" s="52"/>
      <c r="Z8" s="12"/>
      <c r="AA8" s="52"/>
    </row>
    <row r="9" spans="1:27" ht="12.75">
      <c r="A9" s="15"/>
      <c r="B9" s="15"/>
      <c r="C9" s="16"/>
      <c r="D9" s="17"/>
      <c r="E9" s="16"/>
      <c r="F9" s="18"/>
      <c r="G9" s="16"/>
      <c r="H9" s="18"/>
      <c r="I9" s="16"/>
      <c r="J9" s="17"/>
      <c r="K9" s="16"/>
      <c r="L9" s="18"/>
      <c r="M9" s="16"/>
      <c r="N9" s="16"/>
      <c r="O9" s="18"/>
      <c r="P9" s="18"/>
      <c r="Q9" s="18"/>
      <c r="R9" s="18"/>
      <c r="S9" s="18"/>
      <c r="T9" s="18"/>
      <c r="U9" s="15"/>
      <c r="V9" s="17"/>
      <c r="W9" s="16"/>
      <c r="X9" s="16"/>
      <c r="Y9" s="16"/>
      <c r="Z9" s="16"/>
      <c r="AA9" s="16"/>
    </row>
    <row r="10" ht="12.75">
      <c r="U10" s="4"/>
    </row>
    <row r="11" spans="1:27" ht="12.75">
      <c r="A11" s="12" t="s">
        <v>58</v>
      </c>
      <c r="C11" s="8" t="s">
        <v>2</v>
      </c>
      <c r="D11" s="19"/>
      <c r="E11" s="19">
        <v>30</v>
      </c>
      <c r="F11" s="20"/>
      <c r="G11" s="19">
        <v>142.9</v>
      </c>
      <c r="H11" s="19"/>
      <c r="I11" s="21">
        <v>100</v>
      </c>
      <c r="J11" s="21"/>
      <c r="K11" s="19"/>
      <c r="L11" s="20"/>
      <c r="M11" s="19">
        <v>46.5</v>
      </c>
      <c r="N11" s="19"/>
      <c r="O11" s="19">
        <v>142.9</v>
      </c>
      <c r="P11" s="19"/>
      <c r="Q11" s="19">
        <v>30</v>
      </c>
      <c r="R11" s="19"/>
      <c r="S11" s="19">
        <v>42.9</v>
      </c>
      <c r="T11" s="20"/>
      <c r="U11" s="19">
        <v>23.6</v>
      </c>
      <c r="V11" s="19"/>
      <c r="W11" s="22">
        <v>46.5</v>
      </c>
      <c r="X11" s="22"/>
      <c r="Y11" s="22">
        <v>64.5</v>
      </c>
      <c r="Z11" s="20"/>
      <c r="AA11" s="22">
        <f aca="true" t="shared" si="0" ref="AA11:AA21">(U11/((G11-I11)+U11))*100</f>
        <v>35.48872180451128</v>
      </c>
    </row>
    <row r="12" spans="1:27" ht="12.75">
      <c r="A12" s="12" t="s">
        <v>3</v>
      </c>
      <c r="C12" s="8" t="s">
        <v>4</v>
      </c>
      <c r="E12" s="19">
        <v>25</v>
      </c>
      <c r="F12" s="20"/>
      <c r="G12" s="19">
        <f aca="true" t="shared" si="1" ref="G12:G44">100/(1-E12/100)</f>
        <v>133.33333333333334</v>
      </c>
      <c r="H12" s="19"/>
      <c r="I12" s="21">
        <v>100</v>
      </c>
      <c r="J12" s="21"/>
      <c r="K12" s="19">
        <v>25</v>
      </c>
      <c r="L12" s="20"/>
      <c r="M12" s="19">
        <v>25</v>
      </c>
      <c r="N12" s="19"/>
      <c r="O12" s="19"/>
      <c r="P12" s="19"/>
      <c r="Q12" s="19"/>
      <c r="R12" s="19"/>
      <c r="S12" s="19"/>
      <c r="T12" s="20"/>
      <c r="U12" s="19">
        <f>+(M12/100)*MAX(I12,O12)-S12</f>
        <v>25</v>
      </c>
      <c r="V12" s="19"/>
      <c r="W12" s="22">
        <f>(G12-I12+U12)/G12*100</f>
        <v>43.75000000000001</v>
      </c>
      <c r="X12" s="20"/>
      <c r="Y12" s="22">
        <f aca="true" t="shared" si="2" ref="Y12:Y21">((G12-I12)/((G12-I12)+U12))*100</f>
        <v>57.14285714285715</v>
      </c>
      <c r="AA12" s="22">
        <f t="shared" si="0"/>
        <v>42.85714285714285</v>
      </c>
    </row>
    <row r="13" spans="1:27" ht="12.75">
      <c r="A13" s="12" t="s">
        <v>59</v>
      </c>
      <c r="C13" s="8" t="s">
        <v>4</v>
      </c>
      <c r="E13" s="19">
        <f>33*1.03</f>
        <v>33.99</v>
      </c>
      <c r="F13" s="20"/>
      <c r="G13" s="19">
        <f>100/(1-E13/100)</f>
        <v>151.4921981517952</v>
      </c>
      <c r="H13" s="22"/>
      <c r="I13" s="21">
        <v>100</v>
      </c>
      <c r="J13" s="23"/>
      <c r="K13" s="22"/>
      <c r="L13" s="20"/>
      <c r="M13" s="19">
        <v>15</v>
      </c>
      <c r="N13" s="19"/>
      <c r="O13" s="19"/>
      <c r="P13" s="19"/>
      <c r="Q13" s="19"/>
      <c r="R13" s="19"/>
      <c r="S13" s="19"/>
      <c r="T13" s="20"/>
      <c r="U13" s="19">
        <f>+(M13/100)*MAX(I13,O13)-S13</f>
        <v>15</v>
      </c>
      <c r="V13" s="19"/>
      <c r="W13" s="22">
        <f>(G13-I13+U13)/G13*100</f>
        <v>43.89150000000001</v>
      </c>
      <c r="X13" s="20"/>
      <c r="Y13" s="22">
        <f>((G13-I13)/((G13-I13)+U13))*100</f>
        <v>77.44096237312465</v>
      </c>
      <c r="AA13" s="22">
        <f>(U13/((G13-I13)+U13))*100</f>
        <v>22.559037626875355</v>
      </c>
    </row>
    <row r="14" spans="1:27" ht="12.75">
      <c r="A14" s="12" t="s">
        <v>87</v>
      </c>
      <c r="C14" s="8" t="s">
        <v>2</v>
      </c>
      <c r="E14" s="19">
        <v>29.42</v>
      </c>
      <c r="F14" s="20"/>
      <c r="G14" s="19">
        <v>141.68319637291017</v>
      </c>
      <c r="H14" s="22"/>
      <c r="I14" s="21">
        <v>100</v>
      </c>
      <c r="J14" s="23"/>
      <c r="K14" s="22"/>
      <c r="L14" s="20"/>
      <c r="M14" s="19">
        <v>46.41</v>
      </c>
      <c r="N14" s="19"/>
      <c r="O14" s="19">
        <v>144</v>
      </c>
      <c r="P14" s="19"/>
      <c r="Q14" s="19">
        <v>27.957900000000002</v>
      </c>
      <c r="R14" s="19"/>
      <c r="S14" s="19">
        <v>40.259376</v>
      </c>
      <c r="T14" s="20"/>
      <c r="U14" s="19">
        <f>+(M14/100)*MAX(I14,O14)-S14</f>
        <v>26.571023999999994</v>
      </c>
      <c r="V14" s="19"/>
      <c r="W14" s="22">
        <f>(G14-I14+U14)/G14*100</f>
        <v>48.1738287392</v>
      </c>
      <c r="X14" s="20"/>
      <c r="Y14" s="22">
        <f>((G14-I14)/((G14-I14)+U14))*100</f>
        <v>61.07050398520715</v>
      </c>
      <c r="AA14" s="22">
        <f>(U14/((G14-I14)+U14))*100</f>
        <v>38.92949601479285</v>
      </c>
    </row>
    <row r="15" spans="1:27" ht="12.75">
      <c r="A15" s="12" t="s">
        <v>41</v>
      </c>
      <c r="C15" s="8" t="s">
        <v>2</v>
      </c>
      <c r="E15" s="19">
        <v>17</v>
      </c>
      <c r="F15" s="20"/>
      <c r="G15" s="19">
        <f>100/(1-E15/100)</f>
        <v>120.48192771084338</v>
      </c>
      <c r="H15" s="22"/>
      <c r="I15" s="21">
        <v>100</v>
      </c>
      <c r="J15" s="23"/>
      <c r="K15" s="22" t="s">
        <v>34</v>
      </c>
      <c r="L15" s="20"/>
      <c r="M15" s="19">
        <v>40</v>
      </c>
      <c r="N15" s="19"/>
      <c r="O15" s="19">
        <v>120.48192771084338</v>
      </c>
      <c r="P15" s="19"/>
      <c r="Q15" s="19">
        <v>17.000000000000004</v>
      </c>
      <c r="R15" s="19"/>
      <c r="S15" s="19">
        <f>O15*Q15/100</f>
        <v>20.48192771084338</v>
      </c>
      <c r="T15" s="20" t="s">
        <v>40</v>
      </c>
      <c r="U15" s="19">
        <f>+(M15/100)*MAX(I15,O15)-S15</f>
        <v>27.710843373493972</v>
      </c>
      <c r="V15" s="19"/>
      <c r="W15" s="22">
        <f>(G15-I15+U15)/G15*100</f>
        <v>40</v>
      </c>
      <c r="X15" s="20"/>
      <c r="Y15" s="22">
        <f>((G15-I15)/((G15-I15)+U15))*100</f>
        <v>42.50000000000001</v>
      </c>
      <c r="AA15" s="22">
        <f>(U15/((G15-I15)+U15))*100</f>
        <v>57.499999999999986</v>
      </c>
    </row>
    <row r="16" spans="1:27" ht="12.75">
      <c r="A16" s="12" t="s">
        <v>7</v>
      </c>
      <c r="C16" s="8" t="s">
        <v>4</v>
      </c>
      <c r="E16" s="19">
        <v>19</v>
      </c>
      <c r="F16" s="20"/>
      <c r="G16" s="19">
        <v>123.45679012345678</v>
      </c>
      <c r="H16" s="22"/>
      <c r="I16" s="21">
        <v>100</v>
      </c>
      <c r="J16" s="23"/>
      <c r="K16" s="22">
        <v>15</v>
      </c>
      <c r="L16" s="20"/>
      <c r="M16" s="19">
        <v>15</v>
      </c>
      <c r="N16" s="19"/>
      <c r="O16" s="19"/>
      <c r="P16" s="19"/>
      <c r="Q16" s="19"/>
      <c r="R16" s="19"/>
      <c r="S16" s="19"/>
      <c r="T16" s="20"/>
      <c r="U16" s="19">
        <v>15</v>
      </c>
      <c r="V16" s="19"/>
      <c r="W16" s="22">
        <f>(G16-I16+U16)/G16*100</f>
        <v>31.149999999999995</v>
      </c>
      <c r="X16" s="20"/>
      <c r="Y16" s="22">
        <v>60.9951845906902</v>
      </c>
      <c r="AA16" s="22">
        <v>39.00481540930979</v>
      </c>
    </row>
    <row r="17" spans="1:27" ht="12.75">
      <c r="A17" s="12" t="s">
        <v>8</v>
      </c>
      <c r="C17" s="8" t="s">
        <v>29</v>
      </c>
      <c r="E17" s="19">
        <v>25</v>
      </c>
      <c r="F17" s="20"/>
      <c r="G17" s="19">
        <f t="shared" si="1"/>
        <v>133.33333333333334</v>
      </c>
      <c r="H17" s="22"/>
      <c r="I17" s="21">
        <v>100</v>
      </c>
      <c r="J17" s="23"/>
      <c r="K17" s="22"/>
      <c r="L17" s="20"/>
      <c r="M17" s="19">
        <v>42</v>
      </c>
      <c r="N17" s="19"/>
      <c r="O17" s="19"/>
      <c r="P17" s="19"/>
      <c r="Q17" s="19"/>
      <c r="R17" s="19"/>
      <c r="S17" s="19"/>
      <c r="T17" s="20"/>
      <c r="U17" s="19">
        <f>+(M17/100)*MAX(I17,O17)-S17</f>
        <v>42</v>
      </c>
      <c r="V17" s="19"/>
      <c r="W17" s="22">
        <f aca="true" t="shared" si="3" ref="W17:W40">(G17-I17+U17)/G17*100</f>
        <v>56.50000000000001</v>
      </c>
      <c r="X17" s="20"/>
      <c r="Y17" s="22">
        <f t="shared" si="2"/>
        <v>44.247787610619476</v>
      </c>
      <c r="Z17" s="22" t="e">
        <f>+T17/(F17-H17+T17)*100</f>
        <v>#DIV/0!</v>
      </c>
      <c r="AA17" s="22">
        <f t="shared" si="0"/>
        <v>55.75221238938053</v>
      </c>
    </row>
    <row r="18" spans="1:27" ht="12.75">
      <c r="A18" s="12" t="s">
        <v>44</v>
      </c>
      <c r="C18" s="8" t="s">
        <v>30</v>
      </c>
      <c r="E18" s="8">
        <v>21</v>
      </c>
      <c r="G18" s="19">
        <v>126.58227848101265</v>
      </c>
      <c r="H18" s="24"/>
      <c r="I18" s="21">
        <v>100</v>
      </c>
      <c r="J18" s="23"/>
      <c r="K18" s="24" t="s">
        <v>34</v>
      </c>
      <c r="M18" s="8">
        <v>0</v>
      </c>
      <c r="N18" s="8"/>
      <c r="O18" s="8"/>
      <c r="P18" s="8"/>
      <c r="Q18" s="8"/>
      <c r="R18" s="8"/>
      <c r="S18" s="8"/>
      <c r="U18" s="19">
        <v>0</v>
      </c>
      <c r="V18" s="19"/>
      <c r="W18" s="22">
        <v>20.999999999999996</v>
      </c>
      <c r="X18" s="20"/>
      <c r="Y18" s="22">
        <v>100</v>
      </c>
      <c r="Z18" s="22"/>
      <c r="AA18" s="22">
        <v>0</v>
      </c>
    </row>
    <row r="19" spans="1:27" ht="12.75">
      <c r="A19" s="12" t="s">
        <v>88</v>
      </c>
      <c r="C19" s="8" t="s">
        <v>25</v>
      </c>
      <c r="E19" s="19">
        <v>26</v>
      </c>
      <c r="F19" s="20"/>
      <c r="G19" s="19">
        <f t="shared" si="1"/>
        <v>135.13513513513513</v>
      </c>
      <c r="H19" s="22"/>
      <c r="I19" s="21">
        <v>100</v>
      </c>
      <c r="J19" s="23"/>
      <c r="K19" s="22"/>
      <c r="L19" s="20"/>
      <c r="M19" s="19">
        <v>28</v>
      </c>
      <c r="N19" s="19"/>
      <c r="O19" s="19"/>
      <c r="P19" s="19"/>
      <c r="Q19" s="19"/>
      <c r="R19" s="19"/>
      <c r="S19" s="19"/>
      <c r="T19" s="20"/>
      <c r="U19" s="19">
        <f>I19*0.7*M19/100</f>
        <v>19.6</v>
      </c>
      <c r="V19" s="19"/>
      <c r="W19" s="22">
        <f t="shared" si="3"/>
        <v>40.504</v>
      </c>
      <c r="X19" s="20"/>
      <c r="Y19" s="22">
        <f t="shared" si="2"/>
        <v>64.19119099348211</v>
      </c>
      <c r="AA19" s="22">
        <f t="shared" si="0"/>
        <v>35.808809006517876</v>
      </c>
    </row>
    <row r="20" spans="1:27" ht="12.75">
      <c r="A20" s="12" t="s">
        <v>89</v>
      </c>
      <c r="C20" s="8" t="s">
        <v>25</v>
      </c>
      <c r="E20" s="19">
        <v>34.43</v>
      </c>
      <c r="F20" s="20"/>
      <c r="G20" s="19">
        <f>100/(1-E20/100)</f>
        <v>152.50876925423213</v>
      </c>
      <c r="H20" s="22"/>
      <c r="I20" s="21">
        <v>100</v>
      </c>
      <c r="J20" s="23"/>
      <c r="K20" s="22"/>
      <c r="L20" s="20"/>
      <c r="M20" s="19">
        <f>18+12.1</f>
        <v>30.1</v>
      </c>
      <c r="N20" s="19"/>
      <c r="O20" s="19"/>
      <c r="P20" s="19"/>
      <c r="Q20" s="19"/>
      <c r="R20" s="19"/>
      <c r="S20" s="19"/>
      <c r="T20" s="20"/>
      <c r="U20" s="19">
        <f>+(M20/100)*MAX(I20,O20)-S20</f>
        <v>30.099999999999998</v>
      </c>
      <c r="V20" s="19"/>
      <c r="W20" s="22">
        <f t="shared" si="3"/>
        <v>54.16657</v>
      </c>
      <c r="X20" s="20"/>
      <c r="Y20" s="22">
        <f t="shared" si="2"/>
        <v>63.563190358924345</v>
      </c>
      <c r="AA20" s="22">
        <f t="shared" si="0"/>
        <v>36.436809641075655</v>
      </c>
    </row>
    <row r="21" spans="1:27" ht="12.75">
      <c r="A21" s="12" t="s">
        <v>9</v>
      </c>
      <c r="C21" s="8" t="s">
        <v>4</v>
      </c>
      <c r="E21" s="19">
        <v>30.175</v>
      </c>
      <c r="F21" s="20"/>
      <c r="G21" s="19">
        <f t="shared" si="1"/>
        <v>143.21518080916576</v>
      </c>
      <c r="H21" s="22"/>
      <c r="I21" s="21">
        <v>100</v>
      </c>
      <c r="J21" s="23"/>
      <c r="K21" s="22">
        <v>26.375</v>
      </c>
      <c r="L21" s="20"/>
      <c r="M21" s="19">
        <v>26.375</v>
      </c>
      <c r="N21" s="19"/>
      <c r="O21" s="19"/>
      <c r="P21" s="19"/>
      <c r="Q21" s="19"/>
      <c r="R21" s="19"/>
      <c r="S21" s="19"/>
      <c r="T21" s="20"/>
      <c r="U21" s="22">
        <v>26.375</v>
      </c>
      <c r="V21" s="19"/>
      <c r="W21" s="22">
        <f t="shared" si="3"/>
        <v>48.59134374999999</v>
      </c>
      <c r="X21" s="20"/>
      <c r="Y21" s="22">
        <f t="shared" si="2"/>
        <v>62.09953804786474</v>
      </c>
      <c r="AA21" s="22">
        <f t="shared" si="0"/>
        <v>37.90046195213526</v>
      </c>
    </row>
    <row r="22" spans="1:27" ht="12.75">
      <c r="A22" s="12" t="s">
        <v>10</v>
      </c>
      <c r="C22" s="8" t="s">
        <v>29</v>
      </c>
      <c r="E22" s="19">
        <v>24</v>
      </c>
      <c r="F22" s="20"/>
      <c r="G22" s="19">
        <f t="shared" si="1"/>
        <v>131.57894736842104</v>
      </c>
      <c r="H22" s="22"/>
      <c r="I22" s="21">
        <v>100</v>
      </c>
      <c r="J22" s="23"/>
      <c r="K22" s="22">
        <v>10</v>
      </c>
      <c r="L22" s="20"/>
      <c r="M22" s="19">
        <v>10</v>
      </c>
      <c r="N22" s="19"/>
      <c r="O22" s="19"/>
      <c r="P22" s="19"/>
      <c r="Q22" s="19"/>
      <c r="R22" s="19"/>
      <c r="S22" s="19"/>
      <c r="T22" s="20"/>
      <c r="U22" s="19">
        <v>10</v>
      </c>
      <c r="V22" s="19"/>
      <c r="W22" s="22">
        <f>((G22-I22+U22)/G22)*100</f>
        <v>31.599999999999994</v>
      </c>
      <c r="X22" s="20"/>
      <c r="Y22" s="22">
        <f>((G22-I22)/((G22-I22)+U22))*100</f>
        <v>75.94936708860759</v>
      </c>
      <c r="AA22" s="22">
        <f>(U22/((G22-I22)+U22))*100</f>
        <v>24.050632911392412</v>
      </c>
    </row>
    <row r="23" spans="1:27" ht="12.75">
      <c r="A23" s="12" t="s">
        <v>37</v>
      </c>
      <c r="C23" s="8" t="s">
        <v>27</v>
      </c>
      <c r="E23" s="19">
        <v>19</v>
      </c>
      <c r="F23" s="20"/>
      <c r="G23" s="19">
        <f t="shared" si="1"/>
        <v>123.45679012345678</v>
      </c>
      <c r="H23" s="22"/>
      <c r="I23" s="21">
        <v>100</v>
      </c>
      <c r="J23" s="23"/>
      <c r="K23" s="22"/>
      <c r="L23" s="20"/>
      <c r="M23" s="19">
        <v>25</v>
      </c>
      <c r="N23" s="19"/>
      <c r="O23" s="19"/>
      <c r="P23" s="19"/>
      <c r="Q23" s="19"/>
      <c r="R23" s="19"/>
      <c r="S23" s="19"/>
      <c r="T23" s="20"/>
      <c r="U23" s="19">
        <f aca="true" t="shared" si="4" ref="U23:U29">+(M23/100)*MAX(I23,O23)-S23</f>
        <v>25</v>
      </c>
      <c r="V23" s="19"/>
      <c r="W23" s="22">
        <f>(G23-I23+U23)/G23*100</f>
        <v>39.24999999999999</v>
      </c>
      <c r="X23" s="20"/>
      <c r="Y23" s="22">
        <f>((G23-I23)/((G23-I23)+U23))*100</f>
        <v>48.407643312101904</v>
      </c>
      <c r="AA23" s="22">
        <f>(U23/((G23-I23)+U23))*100</f>
        <v>51.5923566878981</v>
      </c>
    </row>
    <row r="24" spans="1:27" ht="12.75">
      <c r="A24" s="12" t="s">
        <v>108</v>
      </c>
      <c r="C24" s="8" t="s">
        <v>4</v>
      </c>
      <c r="E24" s="19">
        <v>18</v>
      </c>
      <c r="F24" s="20"/>
      <c r="G24" s="19">
        <v>121.95121951219511</v>
      </c>
      <c r="H24" s="19"/>
      <c r="I24" s="21">
        <v>100</v>
      </c>
      <c r="J24" s="23"/>
      <c r="K24" s="22"/>
      <c r="L24" s="20"/>
      <c r="M24" s="19">
        <v>18</v>
      </c>
      <c r="N24" s="19"/>
      <c r="O24" s="19"/>
      <c r="P24" s="19"/>
      <c r="Q24" s="19"/>
      <c r="R24" s="19"/>
      <c r="S24" s="19"/>
      <c r="T24" s="20"/>
      <c r="U24" s="19">
        <v>18</v>
      </c>
      <c r="V24" s="19"/>
      <c r="W24" s="22">
        <v>32.76</v>
      </c>
      <c r="X24" s="20"/>
      <c r="Y24" s="22">
        <v>54.94505494505493</v>
      </c>
      <c r="AA24" s="22">
        <v>45.054945054945065</v>
      </c>
    </row>
    <row r="25" spans="1:27" ht="12.75">
      <c r="A25" s="12" t="s">
        <v>12</v>
      </c>
      <c r="C25" s="8" t="s">
        <v>4</v>
      </c>
      <c r="E25" s="19">
        <v>12.5</v>
      </c>
      <c r="F25" s="20"/>
      <c r="G25" s="19">
        <f t="shared" si="1"/>
        <v>114.28571428571429</v>
      </c>
      <c r="H25" s="19"/>
      <c r="I25" s="21">
        <v>100</v>
      </c>
      <c r="J25" s="21"/>
      <c r="K25" s="19"/>
      <c r="L25" s="20"/>
      <c r="M25" s="19">
        <v>47</v>
      </c>
      <c r="N25" s="19"/>
      <c r="O25" s="19"/>
      <c r="P25" s="19"/>
      <c r="Q25" s="19"/>
      <c r="R25" s="19"/>
      <c r="S25" s="19"/>
      <c r="T25" s="20"/>
      <c r="U25" s="19">
        <f t="shared" si="4"/>
        <v>47</v>
      </c>
      <c r="V25" s="19"/>
      <c r="W25" s="22">
        <f t="shared" si="3"/>
        <v>53.625</v>
      </c>
      <c r="X25" s="20"/>
      <c r="Y25" s="22">
        <f>((G25-I25)/((G25-I25)+U25))*100</f>
        <v>23.31002331002332</v>
      </c>
      <c r="AA25" s="22">
        <f>(U25/((G25-I25)+U25))*100</f>
        <v>76.68997668997667</v>
      </c>
    </row>
    <row r="26" spans="1:27" ht="12.75">
      <c r="A26" s="12" t="s">
        <v>43</v>
      </c>
      <c r="C26" s="8" t="s">
        <v>29</v>
      </c>
      <c r="E26" s="19">
        <v>25</v>
      </c>
      <c r="F26" s="20"/>
      <c r="G26" s="19">
        <f t="shared" si="1"/>
        <v>133.33333333333334</v>
      </c>
      <c r="H26" s="19"/>
      <c r="I26" s="21">
        <v>100</v>
      </c>
      <c r="J26" s="21"/>
      <c r="K26" s="19"/>
      <c r="L26" s="20"/>
      <c r="M26" s="19">
        <v>25</v>
      </c>
      <c r="N26" s="19"/>
      <c r="O26" s="19"/>
      <c r="P26" s="19"/>
      <c r="Q26" s="19"/>
      <c r="R26" s="19"/>
      <c r="S26" s="19"/>
      <c r="T26" s="20"/>
      <c r="U26" s="19">
        <f t="shared" si="4"/>
        <v>25</v>
      </c>
      <c r="V26" s="19"/>
      <c r="W26" s="22">
        <f t="shared" si="3"/>
        <v>43.75000000000001</v>
      </c>
      <c r="X26" s="20"/>
      <c r="Y26" s="22">
        <f>((G26-I26)/((G26-I26)+U26))*100</f>
        <v>57.14285714285715</v>
      </c>
      <c r="Z26" s="20"/>
      <c r="AA26" s="22">
        <f>(U26/((G26-I26)+U26))*100</f>
        <v>42.85714285714285</v>
      </c>
    </row>
    <row r="27" spans="1:27" ht="12.75">
      <c r="A27" s="12" t="s">
        <v>90</v>
      </c>
      <c r="C27" s="8" t="s">
        <v>38</v>
      </c>
      <c r="E27" s="19">
        <v>27.5</v>
      </c>
      <c r="F27" s="20"/>
      <c r="G27" s="19">
        <f>100/(1-E27/100)</f>
        <v>137.93103448275863</v>
      </c>
      <c r="H27" s="22"/>
      <c r="I27" s="21">
        <v>100</v>
      </c>
      <c r="J27" s="23"/>
      <c r="K27" s="22">
        <v>12.5</v>
      </c>
      <c r="L27" s="20"/>
      <c r="M27" s="19">
        <v>12.5</v>
      </c>
      <c r="N27" s="19"/>
      <c r="O27" s="19"/>
      <c r="P27" s="19"/>
      <c r="Q27" s="19"/>
      <c r="R27" s="19"/>
      <c r="S27" s="19"/>
      <c r="T27" s="20"/>
      <c r="U27" s="19">
        <f t="shared" si="4"/>
        <v>12.5</v>
      </c>
      <c r="V27" s="19"/>
      <c r="W27" s="22">
        <f>(G27-I27+U27)/G27*100</f>
        <v>36.5625</v>
      </c>
      <c r="X27" s="20"/>
      <c r="Y27" s="22">
        <f>((G27-I27)/((G27-I27)+U27))*100</f>
        <v>75.21367521367523</v>
      </c>
      <c r="AA27" s="22">
        <f>(U27/((G27-I27)+U27))*100</f>
        <v>24.78632478632478</v>
      </c>
    </row>
    <row r="28" spans="1:27" ht="12.75">
      <c r="A28" s="12" t="s">
        <v>115</v>
      </c>
      <c r="C28" s="8" t="s">
        <v>29</v>
      </c>
      <c r="E28" s="19">
        <v>39.54</v>
      </c>
      <c r="G28" s="19">
        <f t="shared" si="1"/>
        <v>165.3986106516705</v>
      </c>
      <c r="H28" s="8"/>
      <c r="I28" s="21">
        <v>100</v>
      </c>
      <c r="J28" s="21"/>
      <c r="K28" s="19">
        <v>10</v>
      </c>
      <c r="M28" s="19">
        <v>10</v>
      </c>
      <c r="N28" s="19"/>
      <c r="O28" s="19"/>
      <c r="P28" s="8"/>
      <c r="Q28" s="19"/>
      <c r="R28" s="19"/>
      <c r="S28" s="19"/>
      <c r="U28" s="19">
        <f t="shared" si="4"/>
        <v>10</v>
      </c>
      <c r="V28" s="8"/>
      <c r="W28" s="22">
        <f t="shared" si="3"/>
        <v>45.58599999999999</v>
      </c>
      <c r="X28" s="19"/>
      <c r="Y28" s="22">
        <f aca="true" t="shared" si="5" ref="Y28:Y40">((G28-I28)/((G28-I28)+U28))*100</f>
        <v>86.7371561444303</v>
      </c>
      <c r="Z28" s="20"/>
      <c r="AA28" s="22">
        <f aca="true" t="shared" si="6" ref="AA28:AA40">(U28/((G28-I28)+U28))*100</f>
        <v>13.262843855569695</v>
      </c>
    </row>
    <row r="29" spans="1:27" ht="12.75">
      <c r="A29" s="12" t="s">
        <v>15</v>
      </c>
      <c r="C29" s="8" t="s">
        <v>6</v>
      </c>
      <c r="E29" s="19">
        <v>24.2</v>
      </c>
      <c r="G29" s="19">
        <f>100/(1-E29/100)</f>
        <v>131.92612137203167</v>
      </c>
      <c r="H29" s="8"/>
      <c r="I29" s="21">
        <v>100</v>
      </c>
      <c r="J29" s="33"/>
      <c r="K29" s="19"/>
      <c r="L29" s="19"/>
      <c r="M29" s="19">
        <v>38.5</v>
      </c>
      <c r="N29" s="20"/>
      <c r="O29" s="19">
        <v>112</v>
      </c>
      <c r="Q29" s="19">
        <f>(O29-100)/O29*100</f>
        <v>10.714285714285714</v>
      </c>
      <c r="R29" s="19"/>
      <c r="S29" s="19">
        <f>+O29*Q29/100</f>
        <v>12</v>
      </c>
      <c r="U29" s="19">
        <f t="shared" si="4"/>
        <v>31.120000000000005</v>
      </c>
      <c r="V29" s="8"/>
      <c r="W29" s="22">
        <f t="shared" si="3"/>
        <v>47.78896000000001</v>
      </c>
      <c r="X29" s="30"/>
      <c r="Y29" s="22">
        <f>((G29-I29)/((G29-I29)+U29))*100</f>
        <v>50.63931083664512</v>
      </c>
      <c r="AA29" s="22">
        <f>(U29/((G29-I29)+U29))*100</f>
        <v>49.36068916335488</v>
      </c>
    </row>
    <row r="30" spans="1:27" ht="12.75">
      <c r="A30" s="12" t="s">
        <v>16</v>
      </c>
      <c r="C30" s="8" t="s">
        <v>25</v>
      </c>
      <c r="E30" s="19">
        <v>28.59</v>
      </c>
      <c r="F30" s="20"/>
      <c r="G30" s="19">
        <f>100/(1-E30/100)</f>
        <v>140.0364094664613</v>
      </c>
      <c r="H30" s="22"/>
      <c r="I30" s="21">
        <v>100</v>
      </c>
      <c r="J30" s="23"/>
      <c r="K30" s="22"/>
      <c r="L30" s="20"/>
      <c r="M30" s="19">
        <v>38.95</v>
      </c>
      <c r="N30" s="19"/>
      <c r="O30" s="19"/>
      <c r="P30" s="19"/>
      <c r="Q30" s="19"/>
      <c r="R30" s="19"/>
      <c r="S30" s="19"/>
      <c r="T30" s="20"/>
      <c r="U30" s="19">
        <f>I30/2*M30/100</f>
        <v>19.475</v>
      </c>
      <c r="V30" s="19"/>
      <c r="W30" s="22">
        <f t="shared" si="3"/>
        <v>42.49709750000001</v>
      </c>
      <c r="X30" s="20"/>
      <c r="Y30" s="22">
        <f>((G30-I30)/((G30-I30)+U30))*100</f>
        <v>67.27518273453852</v>
      </c>
      <c r="AA30" s="22">
        <f>(U30/((G30-I30)+U30))*100</f>
        <v>32.724817265461475</v>
      </c>
    </row>
    <row r="31" spans="1:27" ht="12.75">
      <c r="A31" s="12" t="s">
        <v>35</v>
      </c>
      <c r="C31" s="8" t="s">
        <v>2</v>
      </c>
      <c r="E31" s="19">
        <v>30</v>
      </c>
      <c r="F31" s="20"/>
      <c r="G31" s="19">
        <f>100/(1-E31/100)</f>
        <v>142.85714285714286</v>
      </c>
      <c r="H31" s="19"/>
      <c r="I31" s="21">
        <v>100</v>
      </c>
      <c r="J31" s="21"/>
      <c r="K31" s="19"/>
      <c r="L31" s="20"/>
      <c r="M31" s="19">
        <v>30</v>
      </c>
      <c r="N31" s="19"/>
      <c r="O31" s="19">
        <f>100/(1-M31/100)</f>
        <v>142.85714285714286</v>
      </c>
      <c r="P31" s="19"/>
      <c r="Q31" s="19">
        <f>+((G31-100)/G31)*100</f>
        <v>30.000000000000004</v>
      </c>
      <c r="R31" s="19"/>
      <c r="S31" s="19">
        <f>I31*(Q31/(100-Q31))</f>
        <v>42.85714285714286</v>
      </c>
      <c r="T31" s="20"/>
      <c r="U31" s="19">
        <f>((Q31/100)*O31)-S31</f>
        <v>0</v>
      </c>
      <c r="V31" s="19"/>
      <c r="W31" s="22">
        <f>(G31-I31+U31)/G31*100</f>
        <v>30.000000000000004</v>
      </c>
      <c r="X31" s="20"/>
      <c r="Y31" s="22">
        <f>((G31-I31)/((G31-I31)+U31))*100</f>
        <v>100</v>
      </c>
      <c r="AA31" s="22">
        <f>(U31/((G31-I31)+U31))*100</f>
        <v>0</v>
      </c>
    </row>
    <row r="32" spans="1:27" ht="12.75">
      <c r="A32" s="12" t="s">
        <v>99</v>
      </c>
      <c r="C32" s="8" t="s">
        <v>4</v>
      </c>
      <c r="E32" s="19">
        <v>25.5</v>
      </c>
      <c r="F32" s="20"/>
      <c r="G32" s="19">
        <f>100/(1-E32/100)</f>
        <v>134.2281879194631</v>
      </c>
      <c r="H32" s="19"/>
      <c r="I32" s="21">
        <v>100</v>
      </c>
      <c r="J32" s="21"/>
      <c r="K32" s="19"/>
      <c r="L32" s="20"/>
      <c r="M32" s="19">
        <v>25</v>
      </c>
      <c r="N32" s="19"/>
      <c r="O32" s="19"/>
      <c r="P32" s="19"/>
      <c r="Q32" s="19"/>
      <c r="R32" s="19"/>
      <c r="S32" s="19"/>
      <c r="T32" s="20"/>
      <c r="U32" s="19">
        <f aca="true" t="shared" si="7" ref="U32:U41">+(M32/100)*MAX(I32,O32)-S32</f>
        <v>25</v>
      </c>
      <c r="V32" s="19"/>
      <c r="W32" s="22">
        <f>(G32-I32+U32)/G32*100</f>
        <v>44.125</v>
      </c>
      <c r="X32" s="20"/>
      <c r="Y32" s="22">
        <f t="shared" si="5"/>
        <v>57.790368271954684</v>
      </c>
      <c r="AA32" s="22">
        <f t="shared" si="6"/>
        <v>42.20963172804532</v>
      </c>
    </row>
    <row r="33" spans="1:27" ht="12.75">
      <c r="A33" s="12" t="s">
        <v>100</v>
      </c>
      <c r="C33" s="8" t="s">
        <v>2</v>
      </c>
      <c r="E33" s="19">
        <v>30</v>
      </c>
      <c r="F33" s="20"/>
      <c r="G33" s="19">
        <f>100/(1-E33/100)</f>
        <v>142.85714285714286</v>
      </c>
      <c r="H33" s="19"/>
      <c r="I33" s="21">
        <v>100</v>
      </c>
      <c r="J33" s="21"/>
      <c r="K33" s="19"/>
      <c r="L33" s="20"/>
      <c r="M33" s="19">
        <v>38</v>
      </c>
      <c r="N33" s="19"/>
      <c r="O33" s="19">
        <f>I33/(1-E33/100)</f>
        <v>142.85714285714286</v>
      </c>
      <c r="P33" s="19"/>
      <c r="Q33" s="19">
        <f>(O33-100)/O33*100</f>
        <v>30.000000000000004</v>
      </c>
      <c r="R33" s="19"/>
      <c r="S33" s="19">
        <f>+I33*(Q33/(100-Q33))</f>
        <v>42.85714285714286</v>
      </c>
      <c r="T33" s="20"/>
      <c r="U33" s="19">
        <f t="shared" si="7"/>
        <v>11.428571428571423</v>
      </c>
      <c r="V33" s="19"/>
      <c r="W33" s="22">
        <f>(G33-I33+U33)/G33*100</f>
        <v>38</v>
      </c>
      <c r="X33" s="20"/>
      <c r="Y33" s="22">
        <f>((G33-I33)/((G33-I33)+U33))*100</f>
        <v>78.94736842105264</v>
      </c>
      <c r="AA33" s="22">
        <f>(U33/((G33-I33)+U33))*100</f>
        <v>21.05263157894736</v>
      </c>
    </row>
    <row r="34" spans="1:27" ht="12.75">
      <c r="A34" s="12" t="s">
        <v>101</v>
      </c>
      <c r="C34" s="8" t="s">
        <v>27</v>
      </c>
      <c r="E34" s="19">
        <v>28</v>
      </c>
      <c r="F34" s="20"/>
      <c r="G34" s="19">
        <f t="shared" si="1"/>
        <v>138.88888888888889</v>
      </c>
      <c r="H34" s="19"/>
      <c r="I34" s="21">
        <v>100</v>
      </c>
      <c r="J34" s="21"/>
      <c r="K34" s="19"/>
      <c r="L34" s="20"/>
      <c r="M34" s="19">
        <v>28</v>
      </c>
      <c r="N34" s="19"/>
      <c r="O34" s="19"/>
      <c r="P34" s="19"/>
      <c r="Q34" s="19"/>
      <c r="R34" s="19"/>
      <c r="S34" s="19"/>
      <c r="T34" s="20"/>
      <c r="U34" s="19">
        <f t="shared" si="7"/>
        <v>28.000000000000004</v>
      </c>
      <c r="V34" s="19"/>
      <c r="W34" s="22">
        <f>(G34-I34+U34)/G34*100</f>
        <v>48.16</v>
      </c>
      <c r="X34" s="20"/>
      <c r="Y34" s="22">
        <f t="shared" si="5"/>
        <v>58.139534883720934</v>
      </c>
      <c r="AA34" s="22">
        <f t="shared" si="6"/>
        <v>41.86046511627908</v>
      </c>
    </row>
    <row r="35" spans="1:27" ht="12.75">
      <c r="A35" s="12" t="s">
        <v>36</v>
      </c>
      <c r="C35" s="8" t="s">
        <v>29</v>
      </c>
      <c r="E35" s="19">
        <v>19</v>
      </c>
      <c r="F35" s="20"/>
      <c r="G35" s="19">
        <f t="shared" si="1"/>
        <v>123.45679012345678</v>
      </c>
      <c r="H35" s="22"/>
      <c r="I35" s="21">
        <v>100</v>
      </c>
      <c r="J35" s="23"/>
      <c r="K35" s="19">
        <v>19</v>
      </c>
      <c r="L35" s="19">
        <v>15</v>
      </c>
      <c r="M35" s="19">
        <v>19</v>
      </c>
      <c r="N35" s="19"/>
      <c r="O35" s="19"/>
      <c r="P35" s="19"/>
      <c r="Q35" s="19"/>
      <c r="R35" s="19"/>
      <c r="S35" s="19"/>
      <c r="T35" s="20"/>
      <c r="U35" s="19">
        <f t="shared" si="7"/>
        <v>19</v>
      </c>
      <c r="V35" s="19"/>
      <c r="W35" s="22">
        <f t="shared" si="3"/>
        <v>34.39</v>
      </c>
      <c r="X35" s="20"/>
      <c r="Y35" s="22">
        <f t="shared" si="5"/>
        <v>55.24861878453038</v>
      </c>
      <c r="AA35" s="22">
        <f t="shared" si="6"/>
        <v>44.75138121546962</v>
      </c>
    </row>
    <row r="36" spans="1:27" ht="12.75">
      <c r="A36" s="12" t="s">
        <v>109</v>
      </c>
      <c r="C36" s="8" t="s">
        <v>29</v>
      </c>
      <c r="E36" s="19">
        <v>26.5</v>
      </c>
      <c r="F36" s="20"/>
      <c r="G36" s="19">
        <f t="shared" si="1"/>
        <v>136.0544217687075</v>
      </c>
      <c r="H36" s="19"/>
      <c r="I36" s="21">
        <v>100</v>
      </c>
      <c r="J36" s="21"/>
      <c r="K36" s="19">
        <v>20</v>
      </c>
      <c r="L36" s="20"/>
      <c r="M36" s="19">
        <v>20</v>
      </c>
      <c r="N36" s="19"/>
      <c r="O36" s="19"/>
      <c r="P36" s="19"/>
      <c r="Q36" s="19"/>
      <c r="R36" s="19"/>
      <c r="S36" s="19"/>
      <c r="T36" s="20"/>
      <c r="U36" s="19">
        <f t="shared" si="7"/>
        <v>20</v>
      </c>
      <c r="V36" s="19"/>
      <c r="W36" s="22">
        <f t="shared" si="3"/>
        <v>41.20000000000001</v>
      </c>
      <c r="X36" s="20"/>
      <c r="Y36" s="22">
        <f t="shared" si="5"/>
        <v>64.32038834951457</v>
      </c>
      <c r="AA36" s="22">
        <f t="shared" si="6"/>
        <v>35.67961165048543</v>
      </c>
    </row>
    <row r="37" spans="1:27" ht="12.75">
      <c r="A37" s="12" t="s">
        <v>21</v>
      </c>
      <c r="C37" s="8" t="s">
        <v>30</v>
      </c>
      <c r="E37" s="19">
        <v>19</v>
      </c>
      <c r="F37" s="20"/>
      <c r="G37" s="19">
        <f t="shared" si="1"/>
        <v>123.45679012345678</v>
      </c>
      <c r="H37" s="22"/>
      <c r="I37" s="21">
        <v>100</v>
      </c>
      <c r="J37" s="23"/>
      <c r="K37" s="22"/>
      <c r="L37" s="20"/>
      <c r="M37" s="19">
        <v>0</v>
      </c>
      <c r="N37" s="19"/>
      <c r="O37" s="19"/>
      <c r="P37" s="19"/>
      <c r="Q37" s="19"/>
      <c r="R37" s="19"/>
      <c r="S37" s="19"/>
      <c r="T37" s="20"/>
      <c r="U37" s="19">
        <f t="shared" si="7"/>
        <v>0</v>
      </c>
      <c r="V37" s="19"/>
      <c r="W37" s="22">
        <f t="shared" si="3"/>
        <v>18.999999999999996</v>
      </c>
      <c r="X37" s="20"/>
      <c r="Y37" s="22">
        <f t="shared" si="5"/>
        <v>100</v>
      </c>
      <c r="AA37" s="22">
        <f t="shared" si="6"/>
        <v>0</v>
      </c>
    </row>
    <row r="38" spans="1:27" ht="12.75">
      <c r="A38" s="12" t="s">
        <v>42</v>
      </c>
      <c r="C38" s="8" t="s">
        <v>4</v>
      </c>
      <c r="E38" s="19">
        <v>20</v>
      </c>
      <c r="F38" s="20"/>
      <c r="G38" s="19">
        <v>125</v>
      </c>
      <c r="H38" s="22"/>
      <c r="I38" s="21">
        <v>100</v>
      </c>
      <c r="J38" s="23"/>
      <c r="K38" s="22"/>
      <c r="L38" s="20"/>
      <c r="M38" s="19">
        <v>20</v>
      </c>
      <c r="N38" s="19"/>
      <c r="O38" s="19"/>
      <c r="P38" s="19"/>
      <c r="Q38" s="19"/>
      <c r="R38" s="19"/>
      <c r="S38" s="19"/>
      <c r="T38" s="20"/>
      <c r="U38" s="19">
        <f t="shared" si="7"/>
        <v>20</v>
      </c>
      <c r="V38" s="19"/>
      <c r="W38" s="22">
        <f t="shared" si="3"/>
        <v>36</v>
      </c>
      <c r="X38" s="20"/>
      <c r="Y38" s="22">
        <f t="shared" si="5"/>
        <v>55.55555555555556</v>
      </c>
      <c r="AA38" s="22">
        <f t="shared" si="6"/>
        <v>44.44444444444444</v>
      </c>
    </row>
    <row r="39" spans="1:27" ht="12.75">
      <c r="A39" s="12" t="s">
        <v>110</v>
      </c>
      <c r="C39" s="8" t="s">
        <v>29</v>
      </c>
      <c r="D39" s="8"/>
      <c r="E39" s="19">
        <v>30</v>
      </c>
      <c r="F39" s="8"/>
      <c r="G39" s="19">
        <f>100/(1-E39/100)</f>
        <v>142.85714285714286</v>
      </c>
      <c r="H39" s="8"/>
      <c r="I39" s="21">
        <v>100</v>
      </c>
      <c r="J39" s="21"/>
      <c r="K39" s="8"/>
      <c r="L39" s="8"/>
      <c r="M39" s="19">
        <v>19</v>
      </c>
      <c r="N39" s="8"/>
      <c r="O39" s="8"/>
      <c r="P39" s="8"/>
      <c r="Q39" s="19"/>
      <c r="R39" s="8"/>
      <c r="S39" s="19"/>
      <c r="T39" s="8"/>
      <c r="U39" s="19">
        <f>+(M39/100)*MAX(I39,O39)-S39</f>
        <v>19</v>
      </c>
      <c r="V39" s="8"/>
      <c r="W39" s="22">
        <f>(G39-I39+U39)/G39*100</f>
        <v>43.3</v>
      </c>
      <c r="X39" s="8"/>
      <c r="Y39" s="22">
        <f>((G39-I39)/((G39-I39)+U39))*100</f>
        <v>69.28406466512702</v>
      </c>
      <c r="Z39" s="8"/>
      <c r="AA39" s="22">
        <f>(U39/((G39-I39)+U39))*100</f>
        <v>30.71593533487298</v>
      </c>
    </row>
    <row r="40" spans="1:27" ht="12.75">
      <c r="A40" s="12" t="s">
        <v>23</v>
      </c>
      <c r="C40" s="8" t="s">
        <v>4</v>
      </c>
      <c r="E40" s="19">
        <v>26.3</v>
      </c>
      <c r="F40" s="20"/>
      <c r="G40" s="19">
        <f t="shared" si="1"/>
        <v>135.68521031207598</v>
      </c>
      <c r="H40" s="19"/>
      <c r="I40" s="21">
        <v>100</v>
      </c>
      <c r="J40" s="21"/>
      <c r="K40" s="19"/>
      <c r="L40" s="20"/>
      <c r="M40" s="19">
        <v>30</v>
      </c>
      <c r="N40" s="19"/>
      <c r="O40" s="19"/>
      <c r="P40" s="19"/>
      <c r="Q40" s="19"/>
      <c r="R40" s="19"/>
      <c r="S40" s="19"/>
      <c r="T40" s="20"/>
      <c r="U40" s="19">
        <f t="shared" si="7"/>
        <v>30</v>
      </c>
      <c r="V40" s="19"/>
      <c r="W40" s="22">
        <f t="shared" si="3"/>
        <v>48.41</v>
      </c>
      <c r="X40" s="20"/>
      <c r="Y40" s="22">
        <f t="shared" si="5"/>
        <v>54.32761826068994</v>
      </c>
      <c r="AA40" s="22">
        <f t="shared" si="6"/>
        <v>45.67238173931006</v>
      </c>
    </row>
    <row r="41" spans="1:27" ht="12.75">
      <c r="A41" s="12" t="s">
        <v>111</v>
      </c>
      <c r="C41" s="8" t="s">
        <v>29</v>
      </c>
      <c r="E41" s="19">
        <v>21.17</v>
      </c>
      <c r="F41" s="20"/>
      <c r="G41" s="19">
        <f t="shared" si="1"/>
        <v>126.85525815045034</v>
      </c>
      <c r="H41" s="19"/>
      <c r="I41" s="21">
        <v>100</v>
      </c>
      <c r="J41" s="21"/>
      <c r="K41" s="19"/>
      <c r="L41" s="20"/>
      <c r="M41" s="19">
        <f>(13*0.5)*(1+1.19)+(11.5*0.5)</f>
        <v>19.985</v>
      </c>
      <c r="N41" s="19"/>
      <c r="O41" s="19"/>
      <c r="P41" s="19"/>
      <c r="Q41" s="19"/>
      <c r="R41" s="19"/>
      <c r="S41" s="19"/>
      <c r="T41" s="20"/>
      <c r="U41" s="19">
        <f t="shared" si="7"/>
        <v>19.985</v>
      </c>
      <c r="V41" s="19"/>
      <c r="W41" s="22">
        <f>(G41-I41+U41)/G41*100</f>
        <v>36.924175500000004</v>
      </c>
      <c r="X41" s="20"/>
      <c r="Y41" s="22">
        <f>((G41-I41)/((G41-I41)+U41))*100</f>
        <v>57.33371080960224</v>
      </c>
      <c r="AA41" s="22">
        <f>(U41/((G41-I41)+U41))*100</f>
        <v>42.66628919039776</v>
      </c>
    </row>
    <row r="42" spans="1:27" ht="12.75">
      <c r="A42" s="12" t="s">
        <v>24</v>
      </c>
      <c r="C42" s="8" t="s">
        <v>25</v>
      </c>
      <c r="E42" s="19">
        <v>20</v>
      </c>
      <c r="F42" s="20"/>
      <c r="G42" s="19">
        <f t="shared" si="1"/>
        <v>125</v>
      </c>
      <c r="H42" s="19"/>
      <c r="I42" s="21">
        <v>100</v>
      </c>
      <c r="J42" s="21"/>
      <c r="K42" s="32"/>
      <c r="L42" s="20"/>
      <c r="M42" s="19">
        <v>35</v>
      </c>
      <c r="N42" s="19"/>
      <c r="O42" s="19"/>
      <c r="P42" s="19"/>
      <c r="Q42" s="19"/>
      <c r="R42" s="19"/>
      <c r="S42" s="19"/>
      <c r="T42" s="20"/>
      <c r="U42" s="19">
        <f>(I42/2*M42/100)-(I42*15/100)+(I42*15/100)</f>
        <v>17.5</v>
      </c>
      <c r="V42" s="19"/>
      <c r="W42" s="22">
        <f>(G42-I42+U42)/G42*100</f>
        <v>34</v>
      </c>
      <c r="X42" s="20"/>
      <c r="Y42" s="22">
        <f>((G42-I42)/((G42-I42)+U42))*100</f>
        <v>58.82352941176471</v>
      </c>
      <c r="Z42" s="22" t="e">
        <f>(H42-J42)/(H42-J42+L42+V42)*100</f>
        <v>#DIV/0!</v>
      </c>
      <c r="AA42" s="22">
        <f>(U42/((G42-I42)+U42))*100</f>
        <v>41.17647058823529</v>
      </c>
    </row>
    <row r="43" spans="1:27" ht="12.75">
      <c r="A43" s="12" t="s">
        <v>112</v>
      </c>
      <c r="C43" s="8" t="s">
        <v>6</v>
      </c>
      <c r="D43" s="8"/>
      <c r="E43" s="19">
        <v>28</v>
      </c>
      <c r="F43" s="20"/>
      <c r="G43" s="19">
        <f t="shared" si="1"/>
        <v>138.88888888888889</v>
      </c>
      <c r="H43" s="19"/>
      <c r="I43" s="21">
        <v>100</v>
      </c>
      <c r="J43" s="21"/>
      <c r="K43" s="19"/>
      <c r="L43" s="20"/>
      <c r="M43" s="19">
        <v>42.5</v>
      </c>
      <c r="N43" s="19"/>
      <c r="O43" s="19">
        <v>111.11</v>
      </c>
      <c r="P43" s="19"/>
      <c r="Q43" s="19">
        <f>(O43-100)/O43*100</f>
        <v>9.99909999099991</v>
      </c>
      <c r="R43" s="19"/>
      <c r="S43" s="19">
        <f>+I43*(Q43/(100-Q43))</f>
        <v>11.110000000000001</v>
      </c>
      <c r="T43" s="20"/>
      <c r="U43" s="19">
        <f>+(M43/100)*MAX(I43,O43)-S43</f>
        <v>36.11175</v>
      </c>
      <c r="V43" s="19"/>
      <c r="W43" s="22">
        <f>(G43-I43+U43)/G43*100</f>
        <v>54.00046</v>
      </c>
      <c r="X43" s="22"/>
      <c r="Y43" s="22">
        <f>((G43-I43)/((G43-I43)+U43))*100</f>
        <v>51.85141015465423</v>
      </c>
      <c r="Z43" s="20"/>
      <c r="AA43" s="22">
        <f>(U43/((G43-I43)+U43))*100</f>
        <v>48.14858984534576</v>
      </c>
    </row>
    <row r="44" spans="1:27" ht="16.5">
      <c r="A44" s="12" t="s">
        <v>113</v>
      </c>
      <c r="C44" s="8" t="s">
        <v>29</v>
      </c>
      <c r="E44" s="19">
        <v>39.21</v>
      </c>
      <c r="F44" s="20"/>
      <c r="G44" s="19">
        <f t="shared" si="1"/>
        <v>164.50074025333114</v>
      </c>
      <c r="H44" s="19"/>
      <c r="I44" s="21">
        <v>100</v>
      </c>
      <c r="J44" s="21"/>
      <c r="K44" s="19"/>
      <c r="L44" s="20"/>
      <c r="M44" s="19">
        <v>21.3</v>
      </c>
      <c r="N44" s="19"/>
      <c r="O44" s="19"/>
      <c r="P44" s="19"/>
      <c r="Q44" s="19"/>
      <c r="R44" s="19"/>
      <c r="S44" s="19"/>
      <c r="T44" s="20"/>
      <c r="U44" s="19">
        <f>+(M44/100)*MAX(I44,O44)-S44</f>
        <v>21.3</v>
      </c>
      <c r="V44" s="19"/>
      <c r="W44" s="22">
        <f>(G44-I44+U44)/G44*100</f>
        <v>52.158269999999995</v>
      </c>
      <c r="X44" s="20"/>
      <c r="Y44" s="22">
        <f>((G44-I44)/((G44-I44)+U44))*100</f>
        <v>75.17503935617496</v>
      </c>
      <c r="AA44" s="22">
        <f>(U44/((G44-I44)+U44))*100</f>
        <v>24.824960643825037</v>
      </c>
    </row>
    <row r="45" spans="1:27" ht="15.75" thickBot="1">
      <c r="A45" s="28"/>
      <c r="B45" s="28"/>
      <c r="C45" s="28"/>
      <c r="D45" s="28"/>
      <c r="E45" s="28"/>
      <c r="F45" s="28"/>
      <c r="G45" s="28"/>
      <c r="H45" s="28"/>
      <c r="I45" s="28"/>
      <c r="J45" s="28"/>
      <c r="K45" s="28"/>
      <c r="L45" s="28"/>
      <c r="M45" s="28"/>
      <c r="N45" s="28"/>
      <c r="O45" s="28"/>
      <c r="P45" s="28"/>
      <c r="Q45" s="28"/>
      <c r="R45" s="28"/>
      <c r="S45" s="28"/>
      <c r="T45" s="28"/>
      <c r="U45" s="29"/>
      <c r="V45" s="28"/>
      <c r="W45" s="28"/>
      <c r="X45" s="28"/>
      <c r="Y45" s="28"/>
      <c r="Z45" s="28"/>
      <c r="AA45" s="28"/>
    </row>
    <row r="46" ht="15">
      <c r="U46" s="4"/>
    </row>
  </sheetData>
  <sheetProtection/>
  <mergeCells count="13">
    <mergeCell ref="M5:M8"/>
    <mergeCell ref="C5:C8"/>
    <mergeCell ref="E5:E8"/>
    <mergeCell ref="G5:G8"/>
    <mergeCell ref="I5:I8"/>
    <mergeCell ref="K5:K8"/>
    <mergeCell ref="AA5:AA8"/>
    <mergeCell ref="O5:O8"/>
    <mergeCell ref="Q5:Q8"/>
    <mergeCell ref="S5:S8"/>
    <mergeCell ref="U5:U8"/>
    <mergeCell ref="W5:W8"/>
    <mergeCell ref="Y5:Y8"/>
  </mergeCells>
  <printOptions/>
  <pageMargins left="0.25" right="0.25" top="1" bottom="1" header="0.3" footer="0.3"/>
  <pageSetup fitToHeight="1" fitToWidth="1" horizontalDpi="600" verticalDpi="600" orientation="portrait" paperSize="9" scale="45"/>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46"/>
  <sheetViews>
    <sheetView showGridLines="0" zoomScalePageLayoutView="0" workbookViewId="0" topLeftCell="A47">
      <selection activeCell="A1" sqref="A1:IV65536"/>
    </sheetView>
  </sheetViews>
  <sheetFormatPr defaultColWidth="9.140625" defaultRowHeight="12.75"/>
  <cols>
    <col min="1" max="1" width="15.710937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7.140625" style="2" customWidth="1"/>
    <col min="10" max="10" width="0.85546875" style="2" customWidth="1"/>
    <col min="11" max="11" width="7.710937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421875" style="2" customWidth="1"/>
    <col min="18" max="18" width="0.85546875" style="2" customWidth="1"/>
    <col min="19" max="19" width="12.421875" style="2" customWidth="1"/>
    <col min="20" max="20" width="0.85546875" style="2" customWidth="1"/>
    <col min="21" max="21" width="8.7109375" style="2" customWidth="1"/>
    <col min="22" max="22" width="0.85546875" style="2" customWidth="1"/>
    <col min="23" max="23" width="7.421875" style="2" customWidth="1"/>
    <col min="24" max="24" width="0.9921875" style="2" customWidth="1"/>
    <col min="25" max="25" width="7.7109375" style="2" customWidth="1"/>
    <col min="26" max="26" width="1.28515625" style="2" customWidth="1"/>
    <col min="27" max="27" width="7.8515625" style="2" customWidth="1"/>
    <col min="28" max="28" width="9.140625" style="8" customWidth="1"/>
    <col min="29" max="16384" width="9.140625" style="2" customWidth="1"/>
  </cols>
  <sheetData>
    <row r="1" spans="1:28" ht="12.75">
      <c r="A1" s="1">
        <v>41680</v>
      </c>
      <c r="C1" s="3"/>
      <c r="U1" s="4"/>
      <c r="AB1" s="2"/>
    </row>
    <row r="2" spans="1:28" ht="12.75">
      <c r="A2" s="5" t="s">
        <v>107</v>
      </c>
      <c r="B2" s="6"/>
      <c r="C2" s="6"/>
      <c r="D2" s="6"/>
      <c r="E2" s="6"/>
      <c r="F2" s="6"/>
      <c r="G2" s="6"/>
      <c r="H2" s="6"/>
      <c r="I2" s="6"/>
      <c r="J2" s="6"/>
      <c r="K2" s="6"/>
      <c r="L2" s="6"/>
      <c r="M2" s="6"/>
      <c r="N2" s="6"/>
      <c r="O2" s="6"/>
      <c r="P2" s="6"/>
      <c r="Q2" s="6"/>
      <c r="R2" s="6"/>
      <c r="S2" s="6"/>
      <c r="T2" s="6"/>
      <c r="U2" s="6"/>
      <c r="V2" s="6"/>
      <c r="W2" s="6"/>
      <c r="X2" s="6"/>
      <c r="Y2" s="6"/>
      <c r="Z2" s="6"/>
      <c r="AA2" s="6"/>
      <c r="AB2" s="2"/>
    </row>
    <row r="3" spans="1:28" ht="13.5" thickBot="1">
      <c r="A3" s="7"/>
      <c r="B3" s="7"/>
      <c r="C3" s="7"/>
      <c r="D3" s="7"/>
      <c r="E3" s="7"/>
      <c r="F3" s="7"/>
      <c r="G3" s="7"/>
      <c r="H3" s="7"/>
      <c r="I3" s="7"/>
      <c r="J3" s="7"/>
      <c r="K3" s="7"/>
      <c r="L3" s="7"/>
      <c r="M3" s="7"/>
      <c r="N3" s="7"/>
      <c r="O3" s="7"/>
      <c r="P3" s="7"/>
      <c r="Q3" s="7"/>
      <c r="R3" s="7"/>
      <c r="S3" s="7"/>
      <c r="T3" s="7"/>
      <c r="U3" s="7"/>
      <c r="V3" s="7"/>
      <c r="W3" s="7"/>
      <c r="X3" s="7"/>
      <c r="Y3" s="7"/>
      <c r="Z3" s="7"/>
      <c r="AA3" s="7"/>
      <c r="AB3" s="2"/>
    </row>
    <row r="4" spans="21:28" ht="12.75">
      <c r="U4" s="4"/>
      <c r="AB4" s="2"/>
    </row>
    <row r="5" spans="1:28" ht="12.75">
      <c r="A5" s="9"/>
      <c r="B5" s="9"/>
      <c r="C5" s="51" t="s">
        <v>0</v>
      </c>
      <c r="D5" s="10"/>
      <c r="E5" s="51" t="s">
        <v>46</v>
      </c>
      <c r="F5" s="11"/>
      <c r="G5" s="51" t="s">
        <v>47</v>
      </c>
      <c r="H5" s="11"/>
      <c r="I5" s="51" t="s">
        <v>48</v>
      </c>
      <c r="J5" s="10"/>
      <c r="K5" s="51" t="s">
        <v>78</v>
      </c>
      <c r="L5" s="11"/>
      <c r="M5" s="51" t="s">
        <v>50</v>
      </c>
      <c r="N5" s="10"/>
      <c r="O5" s="51" t="s">
        <v>51</v>
      </c>
      <c r="P5" s="11"/>
      <c r="Q5" s="51" t="s">
        <v>52</v>
      </c>
      <c r="R5" s="11"/>
      <c r="S5" s="51" t="s">
        <v>53</v>
      </c>
      <c r="T5" s="11"/>
      <c r="U5" s="51" t="s">
        <v>54</v>
      </c>
      <c r="V5" s="10"/>
      <c r="W5" s="51" t="s">
        <v>55</v>
      </c>
      <c r="X5" s="12"/>
      <c r="Y5" s="51" t="s">
        <v>56</v>
      </c>
      <c r="Z5" s="12"/>
      <c r="AA5" s="51" t="s">
        <v>57</v>
      </c>
      <c r="AB5" s="2"/>
    </row>
    <row r="6" spans="1:28" ht="12.75">
      <c r="A6" s="12"/>
      <c r="B6" s="9"/>
      <c r="C6" s="52"/>
      <c r="D6" s="10"/>
      <c r="E6" s="52"/>
      <c r="F6" s="11"/>
      <c r="G6" s="52"/>
      <c r="H6" s="11"/>
      <c r="I6" s="52"/>
      <c r="J6" s="10"/>
      <c r="K6" s="52"/>
      <c r="L6" s="11"/>
      <c r="M6" s="52"/>
      <c r="N6" s="13"/>
      <c r="O6" s="52"/>
      <c r="P6" s="11"/>
      <c r="Q6" s="52"/>
      <c r="R6" s="11"/>
      <c r="S6" s="52"/>
      <c r="T6" s="11"/>
      <c r="U6" s="52"/>
      <c r="V6" s="10"/>
      <c r="W6" s="52"/>
      <c r="X6" s="12"/>
      <c r="Y6" s="52"/>
      <c r="Z6" s="12"/>
      <c r="AA6" s="52"/>
      <c r="AB6" s="2"/>
    </row>
    <row r="7" spans="1:28" ht="12.75">
      <c r="A7" s="14"/>
      <c r="B7" s="9"/>
      <c r="C7" s="52"/>
      <c r="D7" s="10"/>
      <c r="E7" s="52"/>
      <c r="F7" s="11"/>
      <c r="G7" s="52"/>
      <c r="H7" s="11"/>
      <c r="I7" s="52"/>
      <c r="J7" s="10"/>
      <c r="K7" s="52"/>
      <c r="L7" s="11"/>
      <c r="M7" s="52"/>
      <c r="N7" s="13"/>
      <c r="O7" s="52"/>
      <c r="P7" s="11"/>
      <c r="Q7" s="52"/>
      <c r="R7" s="11"/>
      <c r="S7" s="52"/>
      <c r="T7" s="11"/>
      <c r="U7" s="52"/>
      <c r="V7" s="10"/>
      <c r="W7" s="52"/>
      <c r="X7" s="12"/>
      <c r="Y7" s="52"/>
      <c r="Z7" s="12"/>
      <c r="AA7" s="52"/>
      <c r="AB7" s="2"/>
    </row>
    <row r="8" spans="1:28" ht="12.75">
      <c r="A8" s="14" t="s">
        <v>1</v>
      </c>
      <c r="B8" s="9"/>
      <c r="C8" s="52"/>
      <c r="D8" s="10"/>
      <c r="E8" s="52"/>
      <c r="F8" s="11"/>
      <c r="G8" s="52"/>
      <c r="H8" s="11"/>
      <c r="I8" s="52"/>
      <c r="J8" s="10"/>
      <c r="K8" s="52"/>
      <c r="L8" s="11"/>
      <c r="M8" s="52"/>
      <c r="N8" s="13"/>
      <c r="O8" s="52"/>
      <c r="P8" s="11"/>
      <c r="Q8" s="52"/>
      <c r="R8" s="11"/>
      <c r="S8" s="52"/>
      <c r="T8" s="11"/>
      <c r="U8" s="52"/>
      <c r="V8" s="10"/>
      <c r="W8" s="52"/>
      <c r="X8" s="12"/>
      <c r="Y8" s="52"/>
      <c r="Z8" s="12"/>
      <c r="AA8" s="52"/>
      <c r="AB8" s="2"/>
    </row>
    <row r="9" spans="1:28" ht="12.75">
      <c r="A9" s="15"/>
      <c r="B9" s="15"/>
      <c r="C9" s="16"/>
      <c r="D9" s="17"/>
      <c r="E9" s="16"/>
      <c r="F9" s="18"/>
      <c r="G9" s="16"/>
      <c r="H9" s="18"/>
      <c r="I9" s="16"/>
      <c r="J9" s="17"/>
      <c r="K9" s="16"/>
      <c r="L9" s="18"/>
      <c r="M9" s="16"/>
      <c r="N9" s="16"/>
      <c r="O9" s="18"/>
      <c r="P9" s="18"/>
      <c r="Q9" s="18"/>
      <c r="R9" s="18"/>
      <c r="S9" s="18"/>
      <c r="T9" s="18"/>
      <c r="U9" s="15"/>
      <c r="V9" s="17"/>
      <c r="W9" s="16"/>
      <c r="X9" s="16"/>
      <c r="Y9" s="16"/>
      <c r="Z9" s="16"/>
      <c r="AA9" s="16"/>
      <c r="AB9" s="2"/>
    </row>
    <row r="10" spans="21:28" ht="12.75">
      <c r="U10" s="4"/>
      <c r="AB10" s="2"/>
    </row>
    <row r="11" spans="1:28" ht="12.75">
      <c r="A11" s="12" t="s">
        <v>58</v>
      </c>
      <c r="C11" s="8" t="s">
        <v>2</v>
      </c>
      <c r="D11" s="19"/>
      <c r="E11" s="19">
        <v>30</v>
      </c>
      <c r="F11" s="20"/>
      <c r="G11" s="19">
        <f>100/(1-E11/100)</f>
        <v>142.85714285714286</v>
      </c>
      <c r="H11" s="19"/>
      <c r="I11" s="21">
        <v>100</v>
      </c>
      <c r="J11" s="21"/>
      <c r="K11" s="19"/>
      <c r="L11" s="20"/>
      <c r="M11" s="19">
        <v>46.5</v>
      </c>
      <c r="N11" s="19"/>
      <c r="O11" s="19">
        <f>I11/(1-E11/100)</f>
        <v>142.85714285714286</v>
      </c>
      <c r="P11" s="19"/>
      <c r="Q11" s="19">
        <f>(O11-100)/O11*100</f>
        <v>30.000000000000004</v>
      </c>
      <c r="R11" s="19"/>
      <c r="S11" s="19">
        <f>+I11*(Q11/(100-Q11))</f>
        <v>42.85714285714286</v>
      </c>
      <c r="T11" s="20"/>
      <c r="U11" s="19">
        <f aca="true" t="shared" si="0" ref="U11:U17">+(M11/100)*MAX(I11,O11)-S11</f>
        <v>23.57142857142857</v>
      </c>
      <c r="V11" s="19"/>
      <c r="W11" s="22">
        <f aca="true" t="shared" si="1" ref="W11:W16">(G11-I11+U11)/G11*100</f>
        <v>46.5</v>
      </c>
      <c r="X11" s="22"/>
      <c r="Y11" s="22">
        <f>((G11-I11)/((G11-I11)+U11))*100</f>
        <v>64.51612903225808</v>
      </c>
      <c r="Z11" s="20"/>
      <c r="AA11" s="22">
        <f>(U11/((G11-I11)+U11))*100</f>
        <v>35.48387096774193</v>
      </c>
      <c r="AB11" s="2"/>
    </row>
    <row r="12" spans="1:28" ht="12.75">
      <c r="A12" s="12" t="s">
        <v>3</v>
      </c>
      <c r="C12" s="8" t="s">
        <v>4</v>
      </c>
      <c r="E12" s="19">
        <v>25</v>
      </c>
      <c r="F12" s="20"/>
      <c r="G12" s="19">
        <f>100/(1-E12/100)</f>
        <v>133.33333333333334</v>
      </c>
      <c r="H12" s="19"/>
      <c r="I12" s="21">
        <v>100</v>
      </c>
      <c r="J12" s="21"/>
      <c r="K12" s="19">
        <v>25</v>
      </c>
      <c r="L12" s="20"/>
      <c r="M12" s="19">
        <v>25</v>
      </c>
      <c r="N12" s="19"/>
      <c r="O12" s="19"/>
      <c r="P12" s="19"/>
      <c r="Q12" s="19"/>
      <c r="R12" s="19"/>
      <c r="S12" s="19"/>
      <c r="T12" s="20"/>
      <c r="U12" s="19">
        <f t="shared" si="0"/>
        <v>25</v>
      </c>
      <c r="V12" s="19"/>
      <c r="W12" s="22">
        <f t="shared" si="1"/>
        <v>43.75000000000001</v>
      </c>
      <c r="X12" s="20"/>
      <c r="Y12" s="22">
        <f aca="true" t="shared" si="2" ref="Y12:Y21">((G12-I12)/((G12-I12)+U12))*100</f>
        <v>57.14285714285715</v>
      </c>
      <c r="AA12" s="22">
        <f aca="true" t="shared" si="3" ref="AA12:AA21">(U12/((G12-I12)+U12))*100</f>
        <v>42.85714285714285</v>
      </c>
      <c r="AB12" s="2"/>
    </row>
    <row r="13" spans="1:28" ht="12.75">
      <c r="A13" s="12" t="s">
        <v>59</v>
      </c>
      <c r="C13" s="8" t="s">
        <v>4</v>
      </c>
      <c r="E13" s="19">
        <f>33*1.03</f>
        <v>33.99</v>
      </c>
      <c r="F13" s="20"/>
      <c r="G13" s="19">
        <f>100/(1-E13/100)</f>
        <v>151.4921981517952</v>
      </c>
      <c r="H13" s="22"/>
      <c r="I13" s="21">
        <v>100</v>
      </c>
      <c r="J13" s="23"/>
      <c r="K13" s="22"/>
      <c r="L13" s="20"/>
      <c r="M13" s="19">
        <v>15</v>
      </c>
      <c r="N13" s="19"/>
      <c r="O13" s="19"/>
      <c r="P13" s="19"/>
      <c r="Q13" s="19"/>
      <c r="R13" s="19"/>
      <c r="S13" s="19"/>
      <c r="T13" s="20"/>
      <c r="U13" s="19">
        <f t="shared" si="0"/>
        <v>15</v>
      </c>
      <c r="V13" s="19"/>
      <c r="W13" s="22">
        <f t="shared" si="1"/>
        <v>43.89150000000001</v>
      </c>
      <c r="X13" s="20"/>
      <c r="Y13" s="22">
        <f>((G13-I13)/((G13-I13)+U13))*100</f>
        <v>77.44096237312465</v>
      </c>
      <c r="AA13" s="22">
        <f>(U13/((G13-I13)+U13))*100</f>
        <v>22.559037626875355</v>
      </c>
      <c r="AB13" s="2"/>
    </row>
    <row r="14" spans="1:28" ht="12.75">
      <c r="A14" s="12" t="s">
        <v>87</v>
      </c>
      <c r="C14" s="8" t="s">
        <v>2</v>
      </c>
      <c r="E14" s="19">
        <v>30.91</v>
      </c>
      <c r="F14" s="20"/>
      <c r="G14" s="19">
        <v>144.73874656245476</v>
      </c>
      <c r="H14" s="22"/>
      <c r="I14" s="21">
        <v>100</v>
      </c>
      <c r="J14" s="23"/>
      <c r="K14" s="22"/>
      <c r="L14" s="20"/>
      <c r="M14" s="19">
        <v>46.41</v>
      </c>
      <c r="N14" s="19"/>
      <c r="O14" s="19">
        <v>145</v>
      </c>
      <c r="P14" s="19"/>
      <c r="Q14" s="19">
        <v>30.5095</v>
      </c>
      <c r="R14" s="19"/>
      <c r="S14" s="19">
        <v>44.238775</v>
      </c>
      <c r="T14" s="20"/>
      <c r="U14" s="19">
        <f t="shared" si="0"/>
        <v>23.055725000000002</v>
      </c>
      <c r="V14" s="19"/>
      <c r="W14" s="22">
        <f t="shared" si="1"/>
        <v>46.8392004025</v>
      </c>
      <c r="X14" s="20"/>
      <c r="Y14" s="22">
        <f>((G14-I14)/((G14-I14)+U14))*100</f>
        <v>65.99173285278842</v>
      </c>
      <c r="AA14" s="22">
        <f>(U14/((G14-I14)+U14))*100</f>
        <v>34.00826714721158</v>
      </c>
      <c r="AB14" s="2"/>
    </row>
    <row r="15" spans="1:28" ht="12.75">
      <c r="A15" s="12" t="s">
        <v>41</v>
      </c>
      <c r="C15" s="8" t="s">
        <v>2</v>
      </c>
      <c r="E15" s="19">
        <v>17</v>
      </c>
      <c r="F15" s="20"/>
      <c r="G15" s="19">
        <f>100/(1-E15/100)</f>
        <v>120.48192771084338</v>
      </c>
      <c r="H15" s="22"/>
      <c r="I15" s="21">
        <v>100</v>
      </c>
      <c r="J15" s="23"/>
      <c r="K15" s="22" t="s">
        <v>34</v>
      </c>
      <c r="L15" s="20"/>
      <c r="M15" s="19">
        <v>40</v>
      </c>
      <c r="N15" s="19"/>
      <c r="O15" s="19">
        <v>120.48192771084338</v>
      </c>
      <c r="P15" s="19"/>
      <c r="Q15" s="19">
        <v>17.000000000000004</v>
      </c>
      <c r="R15" s="19"/>
      <c r="S15" s="19">
        <f>O15*Q15/100</f>
        <v>20.48192771084338</v>
      </c>
      <c r="T15" s="20" t="s">
        <v>40</v>
      </c>
      <c r="U15" s="19">
        <f>+(M15/100)*MAX(I15,O15)-S15</f>
        <v>27.710843373493972</v>
      </c>
      <c r="V15" s="19"/>
      <c r="W15" s="22">
        <f t="shared" si="1"/>
        <v>40</v>
      </c>
      <c r="X15" s="20"/>
      <c r="Y15" s="22">
        <f>((G15-I15)/((G15-I15)+U15))*100</f>
        <v>42.50000000000001</v>
      </c>
      <c r="AA15" s="22">
        <f>(U15/((G15-I15)+U15))*100</f>
        <v>57.499999999999986</v>
      </c>
      <c r="AB15" s="2"/>
    </row>
    <row r="16" spans="1:28" ht="12.75">
      <c r="A16" s="12" t="s">
        <v>7</v>
      </c>
      <c r="C16" s="8" t="s">
        <v>4</v>
      </c>
      <c r="E16" s="19">
        <v>20</v>
      </c>
      <c r="F16" s="20"/>
      <c r="G16" s="19">
        <f>100/(1-E16/100)</f>
        <v>125</v>
      </c>
      <c r="H16" s="22"/>
      <c r="I16" s="21">
        <v>100</v>
      </c>
      <c r="J16" s="23"/>
      <c r="K16" s="22">
        <v>15</v>
      </c>
      <c r="L16" s="20"/>
      <c r="M16" s="19">
        <v>15</v>
      </c>
      <c r="N16" s="19"/>
      <c r="O16" s="19"/>
      <c r="P16" s="19"/>
      <c r="Q16" s="19"/>
      <c r="R16" s="19"/>
      <c r="S16" s="19"/>
      <c r="T16" s="20"/>
      <c r="U16" s="19">
        <f t="shared" si="0"/>
        <v>15</v>
      </c>
      <c r="V16" s="19"/>
      <c r="W16" s="22">
        <f t="shared" si="1"/>
        <v>32</v>
      </c>
      <c r="X16" s="20"/>
      <c r="Y16" s="22">
        <f>((G16-I16)/((G16-I16)+U16))*100</f>
        <v>62.5</v>
      </c>
      <c r="AA16" s="22">
        <f>(U16/((G16-I16)+U16))*100</f>
        <v>37.5</v>
      </c>
      <c r="AB16" s="2"/>
    </row>
    <row r="17" spans="1:28" ht="12.75">
      <c r="A17" s="12" t="s">
        <v>8</v>
      </c>
      <c r="C17" s="8" t="s">
        <v>29</v>
      </c>
      <c r="E17" s="19">
        <v>25</v>
      </c>
      <c r="F17" s="20"/>
      <c r="G17" s="19">
        <f>100/(1-E17/100)</f>
        <v>133.33333333333334</v>
      </c>
      <c r="H17" s="22"/>
      <c r="I17" s="21">
        <v>100</v>
      </c>
      <c r="J17" s="23"/>
      <c r="K17" s="22"/>
      <c r="L17" s="20"/>
      <c r="M17" s="19">
        <v>45</v>
      </c>
      <c r="N17" s="19"/>
      <c r="O17" s="19"/>
      <c r="P17" s="19"/>
      <c r="Q17" s="19"/>
      <c r="R17" s="19"/>
      <c r="S17" s="19"/>
      <c r="T17" s="20"/>
      <c r="U17" s="19">
        <f t="shared" si="0"/>
        <v>45</v>
      </c>
      <c r="V17" s="19"/>
      <c r="W17" s="22">
        <f aca="true" t="shared" si="4" ref="W17:W40">(G17-I17+U17)/G17*100</f>
        <v>58.75</v>
      </c>
      <c r="X17" s="20"/>
      <c r="Y17" s="22">
        <f t="shared" si="2"/>
        <v>42.55319148936171</v>
      </c>
      <c r="Z17" s="22" t="e">
        <f>+T17/(F17-H17+T17)*100</f>
        <v>#DIV/0!</v>
      </c>
      <c r="AA17" s="22">
        <f t="shared" si="3"/>
        <v>57.44680851063829</v>
      </c>
      <c r="AB17" s="2"/>
    </row>
    <row r="18" spans="1:28" ht="12.75">
      <c r="A18" s="12" t="s">
        <v>44</v>
      </c>
      <c r="C18" s="8" t="s">
        <v>30</v>
      </c>
      <c r="E18" s="8">
        <v>21</v>
      </c>
      <c r="G18" s="19">
        <v>126.58227848101265</v>
      </c>
      <c r="H18" s="24"/>
      <c r="I18" s="21">
        <v>100</v>
      </c>
      <c r="J18" s="23"/>
      <c r="K18" s="24" t="s">
        <v>34</v>
      </c>
      <c r="M18" s="8">
        <v>0</v>
      </c>
      <c r="N18" s="8"/>
      <c r="O18" s="8"/>
      <c r="P18" s="8"/>
      <c r="Q18" s="8"/>
      <c r="R18" s="8"/>
      <c r="S18" s="8"/>
      <c r="U18" s="19">
        <v>0</v>
      </c>
      <c r="V18" s="19"/>
      <c r="W18" s="22">
        <v>20.999999999999996</v>
      </c>
      <c r="X18" s="20"/>
      <c r="Y18" s="22">
        <v>100</v>
      </c>
      <c r="Z18" s="22"/>
      <c r="AA18" s="22">
        <v>0</v>
      </c>
      <c r="AB18" s="2"/>
    </row>
    <row r="19" spans="1:28" ht="12.75">
      <c r="A19" s="12" t="s">
        <v>88</v>
      </c>
      <c r="C19" s="8" t="s">
        <v>25</v>
      </c>
      <c r="E19" s="19">
        <v>26</v>
      </c>
      <c r="F19" s="20"/>
      <c r="G19" s="19">
        <f aca="true" t="shared" si="5" ref="G19:G25">100/(1-E19/100)</f>
        <v>135.13513513513513</v>
      </c>
      <c r="H19" s="22"/>
      <c r="I19" s="21">
        <v>100</v>
      </c>
      <c r="J19" s="23"/>
      <c r="K19" s="22"/>
      <c r="L19" s="20"/>
      <c r="M19" s="19">
        <v>28</v>
      </c>
      <c r="N19" s="19"/>
      <c r="O19" s="19"/>
      <c r="P19" s="19"/>
      <c r="Q19" s="19"/>
      <c r="R19" s="19"/>
      <c r="S19" s="19"/>
      <c r="T19" s="20"/>
      <c r="U19" s="19">
        <f>I19*0.7*M19/100</f>
        <v>19.6</v>
      </c>
      <c r="V19" s="19"/>
      <c r="W19" s="22">
        <f t="shared" si="4"/>
        <v>40.504</v>
      </c>
      <c r="X19" s="20"/>
      <c r="Y19" s="22">
        <f t="shared" si="2"/>
        <v>64.19119099348211</v>
      </c>
      <c r="AA19" s="22">
        <f t="shared" si="3"/>
        <v>35.808809006517876</v>
      </c>
      <c r="AB19" s="2"/>
    </row>
    <row r="20" spans="1:28" ht="12.75">
      <c r="A20" s="12" t="s">
        <v>89</v>
      </c>
      <c r="C20" s="8" t="s">
        <v>25</v>
      </c>
      <c r="E20" s="19">
        <v>34.43</v>
      </c>
      <c r="F20" s="20"/>
      <c r="G20" s="19">
        <f t="shared" si="5"/>
        <v>152.50876925423213</v>
      </c>
      <c r="H20" s="22"/>
      <c r="I20" s="21">
        <v>100</v>
      </c>
      <c r="J20" s="23"/>
      <c r="K20" s="22"/>
      <c r="L20" s="20"/>
      <c r="M20" s="19">
        <f>18+12.1</f>
        <v>30.1</v>
      </c>
      <c r="N20" s="19"/>
      <c r="O20" s="19"/>
      <c r="P20" s="19"/>
      <c r="Q20" s="19"/>
      <c r="R20" s="19"/>
      <c r="S20" s="19"/>
      <c r="T20" s="20"/>
      <c r="U20" s="19">
        <f>+(M20/100)*MAX(I20,O20)-S20</f>
        <v>30.099999999999998</v>
      </c>
      <c r="V20" s="19"/>
      <c r="W20" s="22">
        <f t="shared" si="4"/>
        <v>54.16657</v>
      </c>
      <c r="X20" s="20"/>
      <c r="Y20" s="22">
        <f t="shared" si="2"/>
        <v>63.563190358924345</v>
      </c>
      <c r="AA20" s="22">
        <f t="shared" si="3"/>
        <v>36.436809641075655</v>
      </c>
      <c r="AB20" s="2"/>
    </row>
    <row r="21" spans="1:28" ht="12.75">
      <c r="A21" s="12" t="s">
        <v>9</v>
      </c>
      <c r="C21" s="8" t="s">
        <v>4</v>
      </c>
      <c r="E21" s="19">
        <v>30.175</v>
      </c>
      <c r="F21" s="20"/>
      <c r="G21" s="19">
        <f t="shared" si="5"/>
        <v>143.21518080916576</v>
      </c>
      <c r="H21" s="22"/>
      <c r="I21" s="21">
        <v>100</v>
      </c>
      <c r="J21" s="23"/>
      <c r="K21" s="22">
        <v>26.375</v>
      </c>
      <c r="L21" s="20"/>
      <c r="M21" s="19">
        <v>26.375</v>
      </c>
      <c r="N21" s="19"/>
      <c r="O21" s="19"/>
      <c r="P21" s="19"/>
      <c r="Q21" s="19"/>
      <c r="R21" s="19"/>
      <c r="S21" s="19"/>
      <c r="T21" s="20"/>
      <c r="U21" s="22">
        <v>26.375</v>
      </c>
      <c r="V21" s="19"/>
      <c r="W21" s="22">
        <f t="shared" si="4"/>
        <v>48.59134374999999</v>
      </c>
      <c r="X21" s="20"/>
      <c r="Y21" s="22">
        <f t="shared" si="2"/>
        <v>62.09953804786474</v>
      </c>
      <c r="AA21" s="22">
        <f t="shared" si="3"/>
        <v>37.90046195213526</v>
      </c>
      <c r="AB21" s="2"/>
    </row>
    <row r="22" spans="1:28" ht="12.75">
      <c r="A22" s="12" t="s">
        <v>10</v>
      </c>
      <c r="C22" s="8" t="s">
        <v>29</v>
      </c>
      <c r="E22" s="19">
        <v>25</v>
      </c>
      <c r="F22" s="20"/>
      <c r="G22" s="19">
        <f t="shared" si="5"/>
        <v>133.33333333333334</v>
      </c>
      <c r="H22" s="22"/>
      <c r="I22" s="21">
        <v>100</v>
      </c>
      <c r="J22" s="23"/>
      <c r="K22" s="22">
        <v>10</v>
      </c>
      <c r="L22" s="20"/>
      <c r="M22" s="19">
        <v>10</v>
      </c>
      <c r="N22" s="19"/>
      <c r="O22" s="19"/>
      <c r="P22" s="19"/>
      <c r="Q22" s="19"/>
      <c r="R22" s="19"/>
      <c r="S22" s="19"/>
      <c r="T22" s="20"/>
      <c r="U22" s="19">
        <v>10</v>
      </c>
      <c r="V22" s="19"/>
      <c r="W22" s="22">
        <f>((G22-I22+U22)/G22)*100</f>
        <v>32.50000000000001</v>
      </c>
      <c r="X22" s="20"/>
      <c r="Y22" s="22">
        <f>((G22-I22)/((G22-I22)+U22))*100</f>
        <v>76.92307692307693</v>
      </c>
      <c r="AA22" s="22">
        <f>(U22/((G22-I22)+U22))*100</f>
        <v>23.076923076923073</v>
      </c>
      <c r="AB22" s="2"/>
    </row>
    <row r="23" spans="1:28" ht="12.75">
      <c r="A23" s="12" t="s">
        <v>37</v>
      </c>
      <c r="C23" s="8" t="s">
        <v>27</v>
      </c>
      <c r="E23" s="19">
        <v>20</v>
      </c>
      <c r="F23" s="20"/>
      <c r="G23" s="19">
        <f t="shared" si="5"/>
        <v>125</v>
      </c>
      <c r="H23" s="22"/>
      <c r="I23" s="21">
        <v>100</v>
      </c>
      <c r="J23" s="23"/>
      <c r="K23" s="22"/>
      <c r="L23" s="20"/>
      <c r="M23" s="19">
        <v>25</v>
      </c>
      <c r="N23" s="19"/>
      <c r="O23" s="19"/>
      <c r="P23" s="19"/>
      <c r="Q23" s="19"/>
      <c r="R23" s="19"/>
      <c r="S23" s="19"/>
      <c r="T23" s="20"/>
      <c r="U23" s="19">
        <f aca="true" t="shared" si="6" ref="U23:U29">+(M23/100)*MAX(I23,O23)-S23</f>
        <v>25</v>
      </c>
      <c r="V23" s="19"/>
      <c r="W23" s="22">
        <f>(G23-I23+U23)/G23*100</f>
        <v>40</v>
      </c>
      <c r="X23" s="20"/>
      <c r="Y23" s="22">
        <f>((G23-I23)/((G23-I23)+U23))*100</f>
        <v>50</v>
      </c>
      <c r="AA23" s="22">
        <f>(U23/((G23-I23)+U23))*100</f>
        <v>50</v>
      </c>
      <c r="AB23" s="2"/>
    </row>
    <row r="24" spans="1:28" ht="12.75">
      <c r="A24" s="12" t="s">
        <v>108</v>
      </c>
      <c r="C24" s="8" t="s">
        <v>4</v>
      </c>
      <c r="E24" s="19">
        <v>15</v>
      </c>
      <c r="F24" s="20"/>
      <c r="G24" s="19">
        <f t="shared" si="5"/>
        <v>117.64705882352942</v>
      </c>
      <c r="H24" s="19"/>
      <c r="I24" s="21">
        <v>100</v>
      </c>
      <c r="J24" s="23"/>
      <c r="K24" s="22"/>
      <c r="L24" s="20"/>
      <c r="M24" s="19">
        <v>10</v>
      </c>
      <c r="N24" s="19"/>
      <c r="O24" s="19"/>
      <c r="P24" s="19"/>
      <c r="Q24" s="19"/>
      <c r="R24" s="19"/>
      <c r="S24" s="19"/>
      <c r="T24" s="20"/>
      <c r="U24" s="19">
        <f t="shared" si="6"/>
        <v>10</v>
      </c>
      <c r="V24" s="19"/>
      <c r="W24" s="22">
        <f t="shared" si="4"/>
        <v>23.500000000000004</v>
      </c>
      <c r="X24" s="20"/>
      <c r="Y24" s="22">
        <f aca="true" t="shared" si="7" ref="Y24:Y40">((G24-I24)/((G24-I24)+U24))*100</f>
        <v>63.82978723404257</v>
      </c>
      <c r="AA24" s="22">
        <f aca="true" t="shared" si="8" ref="AA24:AA40">(U24/((G24-I24)+U24))*100</f>
        <v>36.17021276595744</v>
      </c>
      <c r="AB24" s="2"/>
    </row>
    <row r="25" spans="1:28" ht="12.75">
      <c r="A25" s="12" t="s">
        <v>12</v>
      </c>
      <c r="C25" s="8" t="s">
        <v>4</v>
      </c>
      <c r="E25" s="19">
        <v>12.5</v>
      </c>
      <c r="F25" s="20"/>
      <c r="G25" s="19">
        <f t="shared" si="5"/>
        <v>114.28571428571429</v>
      </c>
      <c r="H25" s="19"/>
      <c r="I25" s="21">
        <v>100</v>
      </c>
      <c r="J25" s="21"/>
      <c r="K25" s="19"/>
      <c r="L25" s="20"/>
      <c r="M25" s="19">
        <v>46</v>
      </c>
      <c r="N25" s="19"/>
      <c r="O25" s="19"/>
      <c r="P25" s="19"/>
      <c r="Q25" s="19"/>
      <c r="R25" s="19"/>
      <c r="S25" s="19"/>
      <c r="T25" s="20"/>
      <c r="U25" s="19">
        <f t="shared" si="6"/>
        <v>46</v>
      </c>
      <c r="V25" s="19"/>
      <c r="W25" s="22">
        <f t="shared" si="4"/>
        <v>52.75000000000001</v>
      </c>
      <c r="X25" s="20"/>
      <c r="Y25" s="22">
        <f>((G25-I25)/((G25-I25)+U25))*100</f>
        <v>23.696682464454984</v>
      </c>
      <c r="AA25" s="22">
        <f>(U25/((G25-I25)+U25))*100</f>
        <v>76.303317535545</v>
      </c>
      <c r="AB25" s="2"/>
    </row>
    <row r="26" spans="1:28" ht="12.75">
      <c r="A26" s="12" t="s">
        <v>43</v>
      </c>
      <c r="C26" s="8" t="s">
        <v>29</v>
      </c>
      <c r="E26" s="8">
        <v>26</v>
      </c>
      <c r="F26" s="20"/>
      <c r="G26" s="19">
        <v>135.13513513513513</v>
      </c>
      <c r="H26" s="19"/>
      <c r="I26" s="21">
        <v>100</v>
      </c>
      <c r="J26" s="21"/>
      <c r="K26" s="19"/>
      <c r="L26" s="20"/>
      <c r="M26" s="19">
        <v>25</v>
      </c>
      <c r="N26" s="19"/>
      <c r="O26" s="19"/>
      <c r="P26" s="19"/>
      <c r="Q26" s="19"/>
      <c r="R26" s="19"/>
      <c r="S26" s="19"/>
      <c r="T26" s="20"/>
      <c r="U26" s="19">
        <v>25</v>
      </c>
      <c r="V26" s="19"/>
      <c r="W26" s="22">
        <v>44.49999999999999</v>
      </c>
      <c r="X26" s="20"/>
      <c r="Y26" s="22">
        <v>58.42696629213483</v>
      </c>
      <c r="Z26" s="20"/>
      <c r="AA26" s="22">
        <v>41.57303370786517</v>
      </c>
      <c r="AB26" s="2"/>
    </row>
    <row r="27" spans="1:28" ht="12.75">
      <c r="A27" s="12" t="s">
        <v>90</v>
      </c>
      <c r="C27" s="8" t="s">
        <v>38</v>
      </c>
      <c r="E27" s="19">
        <v>27.5</v>
      </c>
      <c r="F27" s="20"/>
      <c r="G27" s="19">
        <f aca="true" t="shared" si="9" ref="G27:G35">100/(1-E27/100)</f>
        <v>137.93103448275863</v>
      </c>
      <c r="H27" s="22"/>
      <c r="I27" s="21">
        <v>100</v>
      </c>
      <c r="J27" s="23"/>
      <c r="K27" s="22">
        <v>12.5</v>
      </c>
      <c r="L27" s="20"/>
      <c r="M27" s="19">
        <v>12.5</v>
      </c>
      <c r="N27" s="19"/>
      <c r="O27" s="19"/>
      <c r="P27" s="19"/>
      <c r="Q27" s="19"/>
      <c r="R27" s="19"/>
      <c r="S27" s="19"/>
      <c r="T27" s="20"/>
      <c r="U27" s="19">
        <f t="shared" si="6"/>
        <v>12.5</v>
      </c>
      <c r="V27" s="19"/>
      <c r="W27" s="22">
        <f>(G27-I27+U27)/G27*100</f>
        <v>36.5625</v>
      </c>
      <c r="X27" s="20"/>
      <c r="Y27" s="22">
        <f>((G27-I27)/((G27-I27)+U27))*100</f>
        <v>75.21367521367523</v>
      </c>
      <c r="AA27" s="22">
        <f>(U27/((G27-I27)+U27))*100</f>
        <v>24.78632478632478</v>
      </c>
      <c r="AB27" s="2"/>
    </row>
    <row r="28" spans="1:28" ht="12.75">
      <c r="A28" s="12" t="s">
        <v>91</v>
      </c>
      <c r="C28" s="8" t="s">
        <v>29</v>
      </c>
      <c r="E28" s="19">
        <v>39.54</v>
      </c>
      <c r="G28" s="19">
        <f t="shared" si="9"/>
        <v>165.3986106516705</v>
      </c>
      <c r="H28" s="8"/>
      <c r="I28" s="21">
        <v>100</v>
      </c>
      <c r="J28" s="21"/>
      <c r="K28" s="19">
        <v>10</v>
      </c>
      <c r="M28" s="19">
        <v>10</v>
      </c>
      <c r="N28" s="19"/>
      <c r="O28" s="19"/>
      <c r="P28" s="8"/>
      <c r="Q28" s="19"/>
      <c r="R28" s="19"/>
      <c r="S28" s="19"/>
      <c r="U28" s="19">
        <f t="shared" si="6"/>
        <v>10</v>
      </c>
      <c r="V28" s="8"/>
      <c r="W28" s="22">
        <f t="shared" si="4"/>
        <v>45.58599999999999</v>
      </c>
      <c r="X28" s="19"/>
      <c r="Y28" s="22">
        <f t="shared" si="7"/>
        <v>86.7371561444303</v>
      </c>
      <c r="Z28" s="20"/>
      <c r="AA28" s="22">
        <f t="shared" si="8"/>
        <v>13.262843855569695</v>
      </c>
      <c r="AB28" s="2"/>
    </row>
    <row r="29" spans="1:28" ht="12.75">
      <c r="A29" s="12" t="s">
        <v>15</v>
      </c>
      <c r="C29" s="8" t="s">
        <v>6</v>
      </c>
      <c r="E29" s="19">
        <v>24.2</v>
      </c>
      <c r="G29" s="19">
        <f t="shared" si="9"/>
        <v>131.92612137203167</v>
      </c>
      <c r="H29" s="8"/>
      <c r="I29" s="21">
        <v>100</v>
      </c>
      <c r="J29" s="33"/>
      <c r="K29" s="19"/>
      <c r="L29" s="19"/>
      <c r="M29" s="19">
        <v>38.5</v>
      </c>
      <c r="N29" s="20"/>
      <c r="O29" s="19">
        <v>115</v>
      </c>
      <c r="Q29" s="19">
        <f>(O29-100)/O29*100</f>
        <v>13.043478260869565</v>
      </c>
      <c r="R29" s="19"/>
      <c r="S29" s="19">
        <f>+O29*Q29/100</f>
        <v>15</v>
      </c>
      <c r="U29" s="19">
        <f t="shared" si="6"/>
        <v>29.275</v>
      </c>
      <c r="V29" s="8"/>
      <c r="W29" s="22">
        <f t="shared" si="4"/>
        <v>46.39045000000001</v>
      </c>
      <c r="X29" s="30"/>
      <c r="Y29" s="22">
        <f>((G29-I29)/((G29-I29)+U29))*100</f>
        <v>52.16590914724907</v>
      </c>
      <c r="AA29" s="22">
        <f>(U29/((G29-I29)+U29))*100</f>
        <v>47.83409085275093</v>
      </c>
      <c r="AB29" s="2"/>
    </row>
    <row r="30" spans="1:28" ht="12.75">
      <c r="A30" s="12" t="s">
        <v>16</v>
      </c>
      <c r="C30" s="8" t="s">
        <v>25</v>
      </c>
      <c r="E30" s="19">
        <v>28.59</v>
      </c>
      <c r="F30" s="20"/>
      <c r="G30" s="19">
        <f t="shared" si="9"/>
        <v>140.0364094664613</v>
      </c>
      <c r="H30" s="22"/>
      <c r="I30" s="21">
        <v>100</v>
      </c>
      <c r="J30" s="23"/>
      <c r="K30" s="22"/>
      <c r="L30" s="20"/>
      <c r="M30" s="19">
        <v>38.95</v>
      </c>
      <c r="N30" s="19"/>
      <c r="O30" s="19"/>
      <c r="P30" s="19"/>
      <c r="Q30" s="19"/>
      <c r="R30" s="19"/>
      <c r="S30" s="19"/>
      <c r="T30" s="20"/>
      <c r="U30" s="19">
        <f>I30/2*M30/100</f>
        <v>19.475</v>
      </c>
      <c r="V30" s="19"/>
      <c r="W30" s="22">
        <f t="shared" si="4"/>
        <v>42.49709750000001</v>
      </c>
      <c r="X30" s="20"/>
      <c r="Y30" s="22">
        <f>((G30-I30)/((G30-I30)+U30))*100</f>
        <v>67.27518273453852</v>
      </c>
      <c r="AA30" s="22">
        <f>(U30/((G30-I30)+U30))*100</f>
        <v>32.724817265461475</v>
      </c>
      <c r="AB30" s="2"/>
    </row>
    <row r="31" spans="1:27" ht="12.75">
      <c r="A31" s="12" t="s">
        <v>35</v>
      </c>
      <c r="C31" s="8" t="s">
        <v>2</v>
      </c>
      <c r="E31" s="19">
        <v>28</v>
      </c>
      <c r="F31" s="20"/>
      <c r="G31" s="19">
        <f t="shared" si="9"/>
        <v>138.88888888888889</v>
      </c>
      <c r="H31" s="19"/>
      <c r="I31" s="21">
        <v>100</v>
      </c>
      <c r="J31" s="21"/>
      <c r="K31" s="19"/>
      <c r="L31" s="20"/>
      <c r="M31" s="19">
        <v>28</v>
      </c>
      <c r="N31" s="19"/>
      <c r="O31" s="19">
        <f>100/(1-M31/100)</f>
        <v>138.88888888888889</v>
      </c>
      <c r="P31" s="19"/>
      <c r="Q31" s="19">
        <f>+((G31-100)/G31)*100</f>
        <v>27.999999999999996</v>
      </c>
      <c r="R31" s="19"/>
      <c r="S31" s="19">
        <f>I31*(Q31/(100-Q31))</f>
        <v>38.888888888888886</v>
      </c>
      <c r="T31" s="20"/>
      <c r="U31" s="19">
        <f>((Q31/100)*O31)-S31</f>
        <v>0</v>
      </c>
      <c r="V31" s="19"/>
      <c r="W31" s="22">
        <f>(G31-I31+U31)/G31*100</f>
        <v>27.999999999999996</v>
      </c>
      <c r="X31" s="20"/>
      <c r="Y31" s="22">
        <f>((G31-I31)/((G31-I31)+U31))*100</f>
        <v>100</v>
      </c>
      <c r="AA31" s="22">
        <f>(U31/((G31-I31)+U31))*100</f>
        <v>0</v>
      </c>
    </row>
    <row r="32" spans="1:27" ht="12.75">
      <c r="A32" s="12" t="s">
        <v>99</v>
      </c>
      <c r="C32" s="8" t="s">
        <v>4</v>
      </c>
      <c r="E32" s="19">
        <v>25.5</v>
      </c>
      <c r="F32" s="20"/>
      <c r="G32" s="19">
        <f t="shared" si="9"/>
        <v>134.2281879194631</v>
      </c>
      <c r="H32" s="19"/>
      <c r="I32" s="21">
        <v>100</v>
      </c>
      <c r="J32" s="21"/>
      <c r="K32" s="19"/>
      <c r="L32" s="20"/>
      <c r="M32" s="19">
        <v>25</v>
      </c>
      <c r="N32" s="19"/>
      <c r="O32" s="19"/>
      <c r="P32" s="19"/>
      <c r="Q32" s="19"/>
      <c r="R32" s="19"/>
      <c r="S32" s="19"/>
      <c r="T32" s="20"/>
      <c r="U32" s="19">
        <f aca="true" t="shared" si="10" ref="U32:U41">+(M32/100)*MAX(I32,O32)-S32</f>
        <v>25</v>
      </c>
      <c r="V32" s="19"/>
      <c r="W32" s="22">
        <f>(G32-I32+U32)/G32*100</f>
        <v>44.125</v>
      </c>
      <c r="X32" s="20"/>
      <c r="Y32" s="22">
        <f t="shared" si="7"/>
        <v>57.790368271954684</v>
      </c>
      <c r="AA32" s="22">
        <f t="shared" si="8"/>
        <v>42.20963172804532</v>
      </c>
    </row>
    <row r="33" spans="1:27" ht="12.75">
      <c r="A33" s="12" t="s">
        <v>100</v>
      </c>
      <c r="C33" s="8" t="s">
        <v>2</v>
      </c>
      <c r="E33" s="19">
        <v>30</v>
      </c>
      <c r="F33" s="20"/>
      <c r="G33" s="19">
        <f t="shared" si="9"/>
        <v>142.85714285714286</v>
      </c>
      <c r="H33" s="19"/>
      <c r="I33" s="21">
        <v>100</v>
      </c>
      <c r="J33" s="21"/>
      <c r="K33" s="19"/>
      <c r="L33" s="20"/>
      <c r="M33" s="19">
        <v>38</v>
      </c>
      <c r="N33" s="19"/>
      <c r="O33" s="19">
        <f>I33/(1-E33/100)</f>
        <v>142.85714285714286</v>
      </c>
      <c r="P33" s="19"/>
      <c r="Q33" s="19">
        <f>(O33-100)/O33*100</f>
        <v>30.000000000000004</v>
      </c>
      <c r="R33" s="19"/>
      <c r="S33" s="19">
        <f>+I33*(Q33/(100-Q33))</f>
        <v>42.85714285714286</v>
      </c>
      <c r="T33" s="20"/>
      <c r="U33" s="19">
        <f t="shared" si="10"/>
        <v>11.428571428571423</v>
      </c>
      <c r="V33" s="19"/>
      <c r="W33" s="22">
        <f>(G33-I33+U33)/G33*100</f>
        <v>38</v>
      </c>
      <c r="X33" s="20"/>
      <c r="Y33" s="22">
        <f>((G33-I33)/((G33-I33)+U33))*100</f>
        <v>78.94736842105264</v>
      </c>
      <c r="AA33" s="22">
        <f>(U33/((G33-I33)+U33))*100</f>
        <v>21.05263157894736</v>
      </c>
    </row>
    <row r="34" spans="1:27" ht="12.75">
      <c r="A34" s="12" t="s">
        <v>101</v>
      </c>
      <c r="C34" s="8" t="s">
        <v>27</v>
      </c>
      <c r="E34" s="19">
        <v>28</v>
      </c>
      <c r="F34" s="20"/>
      <c r="G34" s="19">
        <f t="shared" si="9"/>
        <v>138.88888888888889</v>
      </c>
      <c r="H34" s="19"/>
      <c r="I34" s="21">
        <v>100</v>
      </c>
      <c r="J34" s="21"/>
      <c r="K34" s="19"/>
      <c r="L34" s="20"/>
      <c r="M34" s="19">
        <v>28</v>
      </c>
      <c r="N34" s="19"/>
      <c r="O34" s="19"/>
      <c r="P34" s="19"/>
      <c r="Q34" s="19"/>
      <c r="R34" s="19"/>
      <c r="S34" s="19"/>
      <c r="T34" s="20"/>
      <c r="U34" s="19">
        <f t="shared" si="10"/>
        <v>28.000000000000004</v>
      </c>
      <c r="V34" s="19"/>
      <c r="W34" s="22">
        <f>(G34-I34+U34)/G34*100</f>
        <v>48.16</v>
      </c>
      <c r="X34" s="20"/>
      <c r="Y34" s="22">
        <f t="shared" si="7"/>
        <v>58.139534883720934</v>
      </c>
      <c r="AA34" s="22">
        <f t="shared" si="8"/>
        <v>41.86046511627908</v>
      </c>
    </row>
    <row r="35" spans="1:27" ht="12.75">
      <c r="A35" s="12" t="s">
        <v>36</v>
      </c>
      <c r="C35" s="8" t="s">
        <v>29</v>
      </c>
      <c r="E35" s="19">
        <v>19</v>
      </c>
      <c r="F35" s="20"/>
      <c r="G35" s="19">
        <f t="shared" si="9"/>
        <v>123.45679012345678</v>
      </c>
      <c r="H35" s="22"/>
      <c r="I35" s="21">
        <v>100</v>
      </c>
      <c r="J35" s="23"/>
      <c r="K35" s="19">
        <v>19</v>
      </c>
      <c r="L35" s="19">
        <v>15</v>
      </c>
      <c r="M35" s="19">
        <v>19</v>
      </c>
      <c r="N35" s="19"/>
      <c r="O35" s="19"/>
      <c r="P35" s="19"/>
      <c r="Q35" s="19"/>
      <c r="R35" s="19"/>
      <c r="S35" s="19"/>
      <c r="T35" s="20"/>
      <c r="U35" s="19">
        <f t="shared" si="10"/>
        <v>19</v>
      </c>
      <c r="V35" s="19"/>
      <c r="W35" s="22">
        <f t="shared" si="4"/>
        <v>34.39</v>
      </c>
      <c r="X35" s="20"/>
      <c r="Y35" s="22">
        <f t="shared" si="7"/>
        <v>55.24861878453038</v>
      </c>
      <c r="AA35" s="22">
        <f t="shared" si="8"/>
        <v>44.75138121546962</v>
      </c>
    </row>
    <row r="36" spans="1:27" ht="12.75">
      <c r="A36" s="12" t="s">
        <v>109</v>
      </c>
      <c r="C36" s="8" t="s">
        <v>29</v>
      </c>
      <c r="E36" s="19">
        <v>26.5</v>
      </c>
      <c r="F36" s="20"/>
      <c r="G36" s="19">
        <f aca="true" t="shared" si="11" ref="G36:G44">100/(1-E36/100)</f>
        <v>136.0544217687075</v>
      </c>
      <c r="H36" s="19"/>
      <c r="I36" s="21">
        <v>100</v>
      </c>
      <c r="J36" s="21"/>
      <c r="K36" s="19">
        <v>20</v>
      </c>
      <c r="L36" s="20"/>
      <c r="M36" s="19">
        <v>20</v>
      </c>
      <c r="N36" s="19"/>
      <c r="O36" s="19"/>
      <c r="P36" s="19"/>
      <c r="Q36" s="19"/>
      <c r="R36" s="19"/>
      <c r="S36" s="19"/>
      <c r="T36" s="20"/>
      <c r="U36" s="19">
        <f t="shared" si="10"/>
        <v>20</v>
      </c>
      <c r="V36" s="19"/>
      <c r="W36" s="22">
        <f t="shared" si="4"/>
        <v>41.20000000000001</v>
      </c>
      <c r="X36" s="20"/>
      <c r="Y36" s="22">
        <f t="shared" si="7"/>
        <v>64.32038834951457</v>
      </c>
      <c r="AA36" s="22">
        <f t="shared" si="8"/>
        <v>35.67961165048543</v>
      </c>
    </row>
    <row r="37" spans="1:27" ht="12.75">
      <c r="A37" s="12" t="s">
        <v>21</v>
      </c>
      <c r="C37" s="8" t="s">
        <v>30</v>
      </c>
      <c r="E37" s="19">
        <v>19</v>
      </c>
      <c r="F37" s="20"/>
      <c r="G37" s="19">
        <f t="shared" si="11"/>
        <v>123.45679012345678</v>
      </c>
      <c r="H37" s="22"/>
      <c r="I37" s="21">
        <v>100</v>
      </c>
      <c r="J37" s="23"/>
      <c r="K37" s="22"/>
      <c r="L37" s="20"/>
      <c r="M37" s="19">
        <v>0</v>
      </c>
      <c r="N37" s="19"/>
      <c r="O37" s="19"/>
      <c r="P37" s="19"/>
      <c r="Q37" s="19"/>
      <c r="R37" s="19"/>
      <c r="S37" s="19"/>
      <c r="T37" s="20"/>
      <c r="U37" s="19">
        <f t="shared" si="10"/>
        <v>0</v>
      </c>
      <c r="V37" s="19"/>
      <c r="W37" s="22">
        <f t="shared" si="4"/>
        <v>18.999999999999996</v>
      </c>
      <c r="X37" s="20"/>
      <c r="Y37" s="22">
        <f t="shared" si="7"/>
        <v>100</v>
      </c>
      <c r="AA37" s="22">
        <f t="shared" si="8"/>
        <v>0</v>
      </c>
    </row>
    <row r="38" spans="1:27" ht="12.75">
      <c r="A38" s="12" t="s">
        <v>42</v>
      </c>
      <c r="C38" s="8" t="s">
        <v>4</v>
      </c>
      <c r="E38" s="8">
        <v>21</v>
      </c>
      <c r="G38" s="19">
        <v>126.58227848101265</v>
      </c>
      <c r="H38" s="24"/>
      <c r="I38" s="21">
        <v>100</v>
      </c>
      <c r="J38" s="23"/>
      <c r="K38" s="24"/>
      <c r="M38" s="19">
        <v>20</v>
      </c>
      <c r="N38" s="19"/>
      <c r="O38" s="19"/>
      <c r="P38" s="19"/>
      <c r="Q38" s="19"/>
      <c r="R38" s="19"/>
      <c r="S38" s="19"/>
      <c r="T38" s="20"/>
      <c r="U38" s="19">
        <v>20</v>
      </c>
      <c r="V38" s="19"/>
      <c r="W38" s="22">
        <v>36.8</v>
      </c>
      <c r="X38" s="20"/>
      <c r="Y38" s="22">
        <v>57.065217391304344</v>
      </c>
      <c r="Z38" s="20"/>
      <c r="AA38" s="22">
        <v>42.93478260869566</v>
      </c>
    </row>
    <row r="39" spans="1:27" ht="12.75">
      <c r="A39" s="12" t="s">
        <v>110</v>
      </c>
      <c r="C39" s="8" t="s">
        <v>29</v>
      </c>
      <c r="D39" s="8"/>
      <c r="E39" s="19">
        <v>30</v>
      </c>
      <c r="F39" s="8"/>
      <c r="G39" s="19">
        <f t="shared" si="11"/>
        <v>142.85714285714286</v>
      </c>
      <c r="H39" s="8"/>
      <c r="I39" s="21">
        <v>100</v>
      </c>
      <c r="J39" s="21"/>
      <c r="K39" s="8"/>
      <c r="L39" s="8"/>
      <c r="M39" s="19">
        <v>18</v>
      </c>
      <c r="N39" s="8"/>
      <c r="O39" s="8"/>
      <c r="P39" s="8"/>
      <c r="Q39" s="19"/>
      <c r="R39" s="8"/>
      <c r="S39" s="19"/>
      <c r="T39" s="8"/>
      <c r="U39" s="19">
        <f t="shared" si="10"/>
        <v>18</v>
      </c>
      <c r="V39" s="8"/>
      <c r="W39" s="22">
        <f t="shared" si="4"/>
        <v>42.6</v>
      </c>
      <c r="X39" s="8"/>
      <c r="Y39" s="22">
        <f t="shared" si="7"/>
        <v>70.42253521126761</v>
      </c>
      <c r="Z39" s="8"/>
      <c r="AA39" s="22">
        <f t="shared" si="8"/>
        <v>29.577464788732392</v>
      </c>
    </row>
    <row r="40" spans="1:27" ht="12.75">
      <c r="A40" s="12" t="s">
        <v>23</v>
      </c>
      <c r="C40" s="8" t="s">
        <v>4</v>
      </c>
      <c r="E40" s="19">
        <v>26.3</v>
      </c>
      <c r="F40" s="20"/>
      <c r="G40" s="19">
        <f t="shared" si="11"/>
        <v>135.68521031207598</v>
      </c>
      <c r="H40" s="19"/>
      <c r="I40" s="21">
        <v>100</v>
      </c>
      <c r="J40" s="21"/>
      <c r="K40" s="19"/>
      <c r="L40" s="20"/>
      <c r="M40" s="19">
        <v>30</v>
      </c>
      <c r="N40" s="19"/>
      <c r="O40" s="19"/>
      <c r="P40" s="19"/>
      <c r="Q40" s="19"/>
      <c r="R40" s="19"/>
      <c r="S40" s="19"/>
      <c r="T40" s="20"/>
      <c r="U40" s="19">
        <f t="shared" si="10"/>
        <v>30</v>
      </c>
      <c r="V40" s="19"/>
      <c r="W40" s="22">
        <f t="shared" si="4"/>
        <v>48.41</v>
      </c>
      <c r="X40" s="20"/>
      <c r="Y40" s="22">
        <f t="shared" si="7"/>
        <v>54.32761826068994</v>
      </c>
      <c r="AA40" s="22">
        <f t="shared" si="8"/>
        <v>45.67238173931006</v>
      </c>
    </row>
    <row r="41" spans="1:27" ht="12.75">
      <c r="A41" s="12" t="s">
        <v>111</v>
      </c>
      <c r="C41" s="8" t="s">
        <v>29</v>
      </c>
      <c r="E41" s="19">
        <v>21.17</v>
      </c>
      <c r="F41" s="20"/>
      <c r="G41" s="19">
        <f t="shared" si="11"/>
        <v>126.85525815045034</v>
      </c>
      <c r="H41" s="19"/>
      <c r="I41" s="21">
        <v>100</v>
      </c>
      <c r="J41" s="21"/>
      <c r="K41" s="19"/>
      <c r="L41" s="20"/>
      <c r="M41" s="19">
        <f>(13*0.5)*(1+1.19)+(11.5*0.5)</f>
        <v>19.985</v>
      </c>
      <c r="N41" s="19"/>
      <c r="O41" s="19"/>
      <c r="P41" s="19"/>
      <c r="Q41" s="19"/>
      <c r="R41" s="19"/>
      <c r="S41" s="19"/>
      <c r="T41" s="20"/>
      <c r="U41" s="19">
        <f t="shared" si="10"/>
        <v>19.985</v>
      </c>
      <c r="V41" s="19"/>
      <c r="W41" s="22">
        <f>(G41-I41+U41)/G41*100</f>
        <v>36.924175500000004</v>
      </c>
      <c r="X41" s="20"/>
      <c r="Y41" s="22">
        <f>((G41-I41)/((G41-I41)+U41))*100</f>
        <v>57.33371080960224</v>
      </c>
      <c r="AA41" s="22">
        <f>(U41/((G41-I41)+U41))*100</f>
        <v>42.66628919039776</v>
      </c>
    </row>
    <row r="42" spans="1:27" ht="12.75">
      <c r="A42" s="12" t="s">
        <v>24</v>
      </c>
      <c r="C42" s="8" t="s">
        <v>25</v>
      </c>
      <c r="E42" s="19">
        <v>20</v>
      </c>
      <c r="F42" s="20"/>
      <c r="G42" s="19">
        <f t="shared" si="11"/>
        <v>125</v>
      </c>
      <c r="H42" s="19"/>
      <c r="I42" s="21">
        <v>100</v>
      </c>
      <c r="J42" s="21"/>
      <c r="K42" s="32"/>
      <c r="L42" s="20"/>
      <c r="M42" s="19">
        <v>35</v>
      </c>
      <c r="N42" s="19"/>
      <c r="O42" s="19"/>
      <c r="P42" s="19"/>
      <c r="Q42" s="19"/>
      <c r="R42" s="19"/>
      <c r="S42" s="19"/>
      <c r="T42" s="20"/>
      <c r="U42" s="19">
        <f>(I42/2*M42/100)-(I42*15/100)+(I42*15/100)</f>
        <v>17.5</v>
      </c>
      <c r="V42" s="19"/>
      <c r="W42" s="22">
        <f>(G42-I42+U42)/G42*100</f>
        <v>34</v>
      </c>
      <c r="X42" s="20"/>
      <c r="Y42" s="22">
        <f>((G42-I42)/((G42-I42)+U42))*100</f>
        <v>58.82352941176471</v>
      </c>
      <c r="Z42" s="22" t="e">
        <f>(H42-J42)/(H42-J42+L42+V42)*100</f>
        <v>#DIV/0!</v>
      </c>
      <c r="AA42" s="22">
        <f>(U42/((G42-I42)+U42))*100</f>
        <v>41.17647058823529</v>
      </c>
    </row>
    <row r="43" spans="1:27" ht="12.75">
      <c r="A43" s="12" t="s">
        <v>112</v>
      </c>
      <c r="C43" s="8" t="s">
        <v>6</v>
      </c>
      <c r="D43" s="8"/>
      <c r="E43" s="19">
        <v>28</v>
      </c>
      <c r="F43" s="20"/>
      <c r="G43" s="19">
        <f t="shared" si="11"/>
        <v>138.88888888888889</v>
      </c>
      <c r="H43" s="19"/>
      <c r="I43" s="21">
        <v>100</v>
      </c>
      <c r="J43" s="21"/>
      <c r="K43" s="19"/>
      <c r="L43" s="20"/>
      <c r="M43" s="19">
        <v>32.5</v>
      </c>
      <c r="N43" s="19"/>
      <c r="O43" s="19">
        <v>111.11</v>
      </c>
      <c r="P43" s="19"/>
      <c r="Q43" s="19">
        <f>(O43-100)/O43*100</f>
        <v>9.99909999099991</v>
      </c>
      <c r="R43" s="19"/>
      <c r="S43" s="19">
        <f>+I43*(Q43/(100-Q43))</f>
        <v>11.110000000000001</v>
      </c>
      <c r="T43" s="20"/>
      <c r="U43" s="19">
        <f>+(M43/100)*MAX(I43,O43)-S43</f>
        <v>25.000750000000004</v>
      </c>
      <c r="V43" s="19"/>
      <c r="W43" s="22">
        <f>(G43-I43+U43)/G43*100</f>
        <v>46.00054</v>
      </c>
      <c r="X43" s="22"/>
      <c r="Y43" s="22">
        <f>((G43-I43)/((G43-I43)+U43))*100</f>
        <v>60.86885067001386</v>
      </c>
      <c r="Z43" s="20"/>
      <c r="AA43" s="22">
        <f>(U43/((G43-I43)+U43))*100</f>
        <v>39.13114932998613</v>
      </c>
    </row>
    <row r="44" spans="1:27" ht="16.5">
      <c r="A44" s="12" t="s">
        <v>113</v>
      </c>
      <c r="C44" s="8" t="s">
        <v>29</v>
      </c>
      <c r="E44" s="19">
        <v>39.1</v>
      </c>
      <c r="F44" s="20"/>
      <c r="G44" s="19">
        <f t="shared" si="11"/>
        <v>164.20361247947454</v>
      </c>
      <c r="H44" s="19"/>
      <c r="I44" s="21">
        <v>100</v>
      </c>
      <c r="J44" s="21"/>
      <c r="K44" s="19"/>
      <c r="L44" s="20"/>
      <c r="M44" s="19">
        <v>21.2</v>
      </c>
      <c r="N44" s="19"/>
      <c r="O44" s="19"/>
      <c r="P44" s="19"/>
      <c r="Q44" s="19"/>
      <c r="R44" s="19"/>
      <c r="S44" s="19"/>
      <c r="T44" s="20"/>
      <c r="U44" s="19">
        <f>+(M44/100)*MAX(I44,O44)-S44</f>
        <v>21.2</v>
      </c>
      <c r="V44" s="19"/>
      <c r="W44" s="22">
        <f>(G44-I44+U44)/G44*100</f>
        <v>52.0108</v>
      </c>
      <c r="X44" s="20"/>
      <c r="Y44" s="22">
        <f>((G44-I44)/((G44-I44)+U44))*100</f>
        <v>75.17669407123135</v>
      </c>
      <c r="AA44" s="22">
        <f>(U44/((G44-I44)+U44))*100</f>
        <v>24.82330592876864</v>
      </c>
    </row>
    <row r="45" spans="1:27" ht="15.75" thickBot="1">
      <c r="A45" s="28"/>
      <c r="B45" s="28"/>
      <c r="C45" s="28"/>
      <c r="D45" s="28"/>
      <c r="E45" s="28"/>
      <c r="F45" s="28"/>
      <c r="G45" s="28"/>
      <c r="H45" s="28"/>
      <c r="I45" s="28"/>
      <c r="J45" s="28"/>
      <c r="K45" s="28"/>
      <c r="L45" s="28"/>
      <c r="M45" s="28"/>
      <c r="N45" s="28"/>
      <c r="O45" s="28"/>
      <c r="P45" s="28"/>
      <c r="Q45" s="28"/>
      <c r="R45" s="28"/>
      <c r="S45" s="28"/>
      <c r="T45" s="28"/>
      <c r="U45" s="29"/>
      <c r="V45" s="28"/>
      <c r="W45" s="28"/>
      <c r="X45" s="28"/>
      <c r="Y45" s="28"/>
      <c r="Z45" s="28"/>
      <c r="AA45" s="28"/>
    </row>
    <row r="46" ht="15">
      <c r="U46" s="4"/>
    </row>
  </sheetData>
  <sheetProtection/>
  <mergeCells count="13">
    <mergeCell ref="AA5:AA8"/>
    <mergeCell ref="O5:O8"/>
    <mergeCell ref="Q5:Q8"/>
    <mergeCell ref="S5:S8"/>
    <mergeCell ref="U5:U8"/>
    <mergeCell ref="W5:W8"/>
    <mergeCell ref="Y5:Y8"/>
    <mergeCell ref="M5:M8"/>
    <mergeCell ref="C5:C8"/>
    <mergeCell ref="E5:E8"/>
    <mergeCell ref="G5:G8"/>
    <mergeCell ref="I5:I8"/>
    <mergeCell ref="K5:K8"/>
  </mergeCells>
  <printOptions/>
  <pageMargins left="0.25" right="0.25" top="1" bottom="1" header="0.3" footer="0.3"/>
  <pageSetup fitToHeight="1" fitToWidth="1" horizontalDpi="600" verticalDpi="600" orientation="portrait" paperSize="9" scale="45"/>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A46"/>
  <sheetViews>
    <sheetView showGridLines="0" zoomScalePageLayoutView="0" workbookViewId="0" topLeftCell="A47">
      <selection activeCell="A1" sqref="A1:IV65536"/>
    </sheetView>
  </sheetViews>
  <sheetFormatPr defaultColWidth="9.140625" defaultRowHeight="12.75"/>
  <cols>
    <col min="1" max="1" width="14.851562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7.140625" style="2" customWidth="1"/>
    <col min="10" max="10" width="0.85546875" style="2" customWidth="1"/>
    <col min="11" max="11" width="7.710937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421875" style="2" customWidth="1"/>
    <col min="18" max="18" width="0.85546875" style="2" customWidth="1"/>
    <col min="19" max="19" width="12.421875" style="2" customWidth="1"/>
    <col min="20" max="20" width="0.85546875" style="2" customWidth="1"/>
    <col min="21" max="21" width="8.7109375" style="2" customWidth="1"/>
    <col min="22" max="22" width="0.85546875" style="2" customWidth="1"/>
    <col min="23" max="23" width="7.421875" style="2" customWidth="1"/>
    <col min="24" max="24" width="0.9921875" style="2" customWidth="1"/>
    <col min="25" max="25" width="7.7109375" style="2" customWidth="1"/>
    <col min="26" max="26" width="1.28515625" style="2" customWidth="1"/>
    <col min="27" max="27" width="7.8515625" style="2" customWidth="1"/>
    <col min="28" max="28" width="9.140625" style="8" customWidth="1"/>
    <col min="29" max="16384" width="9.140625" style="2" customWidth="1"/>
  </cols>
  <sheetData>
    <row r="1" spans="1:21" ht="12.75">
      <c r="A1" s="1">
        <v>41680</v>
      </c>
      <c r="C1" s="3"/>
      <c r="U1" s="4"/>
    </row>
    <row r="2" spans="1:27" ht="12.75">
      <c r="A2" s="5" t="s">
        <v>106</v>
      </c>
      <c r="B2" s="6"/>
      <c r="C2" s="6"/>
      <c r="D2" s="6"/>
      <c r="E2" s="6"/>
      <c r="F2" s="6"/>
      <c r="G2" s="6"/>
      <c r="H2" s="6"/>
      <c r="I2" s="6"/>
      <c r="J2" s="6"/>
      <c r="K2" s="6"/>
      <c r="L2" s="6"/>
      <c r="M2" s="6"/>
      <c r="N2" s="6"/>
      <c r="O2" s="6"/>
      <c r="P2" s="6"/>
      <c r="Q2" s="6"/>
      <c r="R2" s="6"/>
      <c r="S2" s="6"/>
      <c r="T2" s="6"/>
      <c r="U2" s="6"/>
      <c r="V2" s="6"/>
      <c r="W2" s="6"/>
      <c r="X2" s="6"/>
      <c r="Y2" s="6"/>
      <c r="Z2" s="6"/>
      <c r="AA2" s="6"/>
    </row>
    <row r="3" spans="1:27" ht="13.5" thickBot="1">
      <c r="A3" s="7"/>
      <c r="B3" s="7"/>
      <c r="C3" s="7"/>
      <c r="D3" s="7"/>
      <c r="E3" s="7"/>
      <c r="F3" s="7"/>
      <c r="G3" s="7"/>
      <c r="H3" s="7"/>
      <c r="I3" s="7"/>
      <c r="J3" s="7"/>
      <c r="K3" s="7"/>
      <c r="L3" s="7"/>
      <c r="M3" s="7"/>
      <c r="N3" s="7"/>
      <c r="O3" s="7"/>
      <c r="P3" s="7"/>
      <c r="Q3" s="7"/>
      <c r="R3" s="7"/>
      <c r="S3" s="7"/>
      <c r="T3" s="7"/>
      <c r="U3" s="7"/>
      <c r="V3" s="7"/>
      <c r="W3" s="7"/>
      <c r="X3" s="7"/>
      <c r="Y3" s="7"/>
      <c r="Z3" s="7"/>
      <c r="AA3" s="7"/>
    </row>
    <row r="4" ht="12.75">
      <c r="U4" s="4"/>
    </row>
    <row r="5" spans="1:27" ht="12.75">
      <c r="A5" s="9"/>
      <c r="B5" s="9"/>
      <c r="C5" s="51" t="s">
        <v>0</v>
      </c>
      <c r="D5" s="10"/>
      <c r="E5" s="51" t="s">
        <v>46</v>
      </c>
      <c r="F5" s="11"/>
      <c r="G5" s="51" t="s">
        <v>47</v>
      </c>
      <c r="H5" s="11"/>
      <c r="I5" s="51" t="s">
        <v>48</v>
      </c>
      <c r="J5" s="10"/>
      <c r="K5" s="51" t="s">
        <v>78</v>
      </c>
      <c r="L5" s="11"/>
      <c r="M5" s="51" t="s">
        <v>50</v>
      </c>
      <c r="N5" s="10"/>
      <c r="O5" s="51" t="s">
        <v>51</v>
      </c>
      <c r="P5" s="11"/>
      <c r="Q5" s="51" t="s">
        <v>52</v>
      </c>
      <c r="R5" s="11"/>
      <c r="S5" s="51" t="s">
        <v>53</v>
      </c>
      <c r="T5" s="11"/>
      <c r="U5" s="51" t="s">
        <v>54</v>
      </c>
      <c r="V5" s="10"/>
      <c r="W5" s="51" t="s">
        <v>55</v>
      </c>
      <c r="X5" s="12"/>
      <c r="Y5" s="51" t="s">
        <v>56</v>
      </c>
      <c r="Z5" s="12"/>
      <c r="AA5" s="51" t="s">
        <v>57</v>
      </c>
    </row>
    <row r="6" spans="1:27" ht="12.75">
      <c r="A6" s="12"/>
      <c r="B6" s="9"/>
      <c r="C6" s="52"/>
      <c r="D6" s="10"/>
      <c r="E6" s="52"/>
      <c r="F6" s="11"/>
      <c r="G6" s="52"/>
      <c r="H6" s="11"/>
      <c r="I6" s="52"/>
      <c r="J6" s="10"/>
      <c r="K6" s="52"/>
      <c r="L6" s="11"/>
      <c r="M6" s="52"/>
      <c r="N6" s="13"/>
      <c r="O6" s="52"/>
      <c r="P6" s="11"/>
      <c r="Q6" s="52"/>
      <c r="R6" s="11"/>
      <c r="S6" s="52"/>
      <c r="T6" s="11"/>
      <c r="U6" s="52"/>
      <c r="V6" s="10"/>
      <c r="W6" s="52"/>
      <c r="X6" s="12"/>
      <c r="Y6" s="52"/>
      <c r="Z6" s="12"/>
      <c r="AA6" s="52"/>
    </row>
    <row r="7" spans="1:27" ht="12.75">
      <c r="A7" s="14"/>
      <c r="B7" s="9"/>
      <c r="C7" s="52"/>
      <c r="D7" s="10"/>
      <c r="E7" s="52"/>
      <c r="F7" s="11"/>
      <c r="G7" s="52"/>
      <c r="H7" s="11"/>
      <c r="I7" s="52"/>
      <c r="J7" s="10"/>
      <c r="K7" s="52"/>
      <c r="L7" s="11"/>
      <c r="M7" s="52"/>
      <c r="N7" s="13"/>
      <c r="O7" s="52"/>
      <c r="P7" s="11"/>
      <c r="Q7" s="52"/>
      <c r="R7" s="11"/>
      <c r="S7" s="52"/>
      <c r="T7" s="11"/>
      <c r="U7" s="52"/>
      <c r="V7" s="10"/>
      <c r="W7" s="52"/>
      <c r="X7" s="12"/>
      <c r="Y7" s="52"/>
      <c r="Z7" s="12"/>
      <c r="AA7" s="52"/>
    </row>
    <row r="8" spans="1:27" ht="12.75">
      <c r="A8" s="14" t="s">
        <v>1</v>
      </c>
      <c r="B8" s="9"/>
      <c r="C8" s="52"/>
      <c r="D8" s="10"/>
      <c r="E8" s="52"/>
      <c r="F8" s="11"/>
      <c r="G8" s="52"/>
      <c r="H8" s="11"/>
      <c r="I8" s="52"/>
      <c r="J8" s="10"/>
      <c r="K8" s="52"/>
      <c r="L8" s="11"/>
      <c r="M8" s="52"/>
      <c r="N8" s="13"/>
      <c r="O8" s="52"/>
      <c r="P8" s="11"/>
      <c r="Q8" s="52"/>
      <c r="R8" s="11"/>
      <c r="S8" s="52"/>
      <c r="T8" s="11"/>
      <c r="U8" s="52"/>
      <c r="V8" s="10"/>
      <c r="W8" s="52"/>
      <c r="X8" s="12"/>
      <c r="Y8" s="52"/>
      <c r="Z8" s="12"/>
      <c r="AA8" s="52"/>
    </row>
    <row r="9" spans="1:27" ht="12.75">
      <c r="A9" s="15"/>
      <c r="B9" s="15"/>
      <c r="C9" s="16"/>
      <c r="D9" s="17"/>
      <c r="E9" s="16"/>
      <c r="F9" s="18"/>
      <c r="G9" s="16"/>
      <c r="H9" s="18"/>
      <c r="I9" s="16"/>
      <c r="J9" s="17"/>
      <c r="K9" s="16"/>
      <c r="L9" s="18"/>
      <c r="M9" s="16"/>
      <c r="N9" s="16"/>
      <c r="O9" s="18"/>
      <c r="P9" s="18"/>
      <c r="Q9" s="18"/>
      <c r="R9" s="18"/>
      <c r="S9" s="18"/>
      <c r="T9" s="18"/>
      <c r="U9" s="15"/>
      <c r="V9" s="17"/>
      <c r="W9" s="16"/>
      <c r="X9" s="16"/>
      <c r="Y9" s="16"/>
      <c r="Z9" s="16"/>
      <c r="AA9" s="16"/>
    </row>
    <row r="10" ht="12.75">
      <c r="U10" s="4"/>
    </row>
    <row r="11" spans="1:27" ht="12.75">
      <c r="A11" s="12" t="s">
        <v>58</v>
      </c>
      <c r="C11" s="8" t="s">
        <v>2</v>
      </c>
      <c r="D11" s="19"/>
      <c r="E11" s="19">
        <v>30</v>
      </c>
      <c r="F11" s="20"/>
      <c r="G11" s="19">
        <f>100/(1-E11/100)</f>
        <v>142.85714285714286</v>
      </c>
      <c r="H11" s="19"/>
      <c r="I11" s="21">
        <v>100</v>
      </c>
      <c r="J11" s="21"/>
      <c r="K11" s="19"/>
      <c r="L11" s="20"/>
      <c r="M11" s="19">
        <v>46.5</v>
      </c>
      <c r="N11" s="19"/>
      <c r="O11" s="19">
        <f>I11/(1-E11/100)</f>
        <v>142.85714285714286</v>
      </c>
      <c r="P11" s="19"/>
      <c r="Q11" s="19">
        <f>(O11-100)/O11*100</f>
        <v>30.000000000000004</v>
      </c>
      <c r="R11" s="19"/>
      <c r="S11" s="19">
        <f>+I11*(Q11/(100-Q11))</f>
        <v>42.85714285714286</v>
      </c>
      <c r="T11" s="20"/>
      <c r="U11" s="19">
        <f aca="true" t="shared" si="0" ref="U11:U17">+(M11/100)*MAX(I11,O11)-S11</f>
        <v>23.57142857142857</v>
      </c>
      <c r="V11" s="19"/>
      <c r="W11" s="22">
        <f aca="true" t="shared" si="1" ref="W11:W16">(G11-I11+U11)/G11*100</f>
        <v>46.5</v>
      </c>
      <c r="X11" s="22"/>
      <c r="Y11" s="22">
        <f>((G11-I11)/((G11-I11)+U11))*100</f>
        <v>64.51612903225808</v>
      </c>
      <c r="Z11" s="20"/>
      <c r="AA11" s="22">
        <f>(U11/((G11-I11)+U11))*100</f>
        <v>35.48387096774193</v>
      </c>
    </row>
    <row r="12" spans="1:27" ht="12.75">
      <c r="A12" s="12" t="s">
        <v>3</v>
      </c>
      <c r="C12" s="8" t="s">
        <v>4</v>
      </c>
      <c r="E12" s="19">
        <v>25</v>
      </c>
      <c r="F12" s="20"/>
      <c r="G12" s="19">
        <f aca="true" t="shared" si="2" ref="G12:G42">100/(1-E12/100)</f>
        <v>133.33333333333334</v>
      </c>
      <c r="H12" s="19"/>
      <c r="I12" s="21">
        <v>100</v>
      </c>
      <c r="J12" s="21"/>
      <c r="K12" s="19">
        <v>25</v>
      </c>
      <c r="L12" s="20"/>
      <c r="M12" s="19">
        <v>25</v>
      </c>
      <c r="N12" s="19"/>
      <c r="O12" s="19"/>
      <c r="P12" s="19"/>
      <c r="Q12" s="19"/>
      <c r="R12" s="19"/>
      <c r="S12" s="19"/>
      <c r="T12" s="20"/>
      <c r="U12" s="19">
        <f t="shared" si="0"/>
        <v>25</v>
      </c>
      <c r="V12" s="19"/>
      <c r="W12" s="22">
        <f t="shared" si="1"/>
        <v>43.75000000000001</v>
      </c>
      <c r="X12" s="20"/>
      <c r="Y12" s="22">
        <f aca="true" t="shared" si="3" ref="Y12:Y21">((G12-I12)/((G12-I12)+U12))*100</f>
        <v>57.14285714285715</v>
      </c>
      <c r="AA12" s="22">
        <f aca="true" t="shared" si="4" ref="AA12:AA21">(U12/((G12-I12)+U12))*100</f>
        <v>42.85714285714285</v>
      </c>
    </row>
    <row r="13" spans="1:27" ht="12.75">
      <c r="A13" s="12" t="s">
        <v>59</v>
      </c>
      <c r="C13" s="8" t="s">
        <v>4</v>
      </c>
      <c r="E13" s="19">
        <f>33*1.03</f>
        <v>33.99</v>
      </c>
      <c r="F13" s="20"/>
      <c r="G13" s="19">
        <f>100/(1-E13/100)</f>
        <v>151.4921981517952</v>
      </c>
      <c r="H13" s="22"/>
      <c r="I13" s="21">
        <v>100</v>
      </c>
      <c r="J13" s="23"/>
      <c r="K13" s="22"/>
      <c r="L13" s="20"/>
      <c r="M13" s="19">
        <v>15</v>
      </c>
      <c r="N13" s="19"/>
      <c r="O13" s="19"/>
      <c r="P13" s="19"/>
      <c r="Q13" s="19"/>
      <c r="R13" s="19"/>
      <c r="S13" s="19"/>
      <c r="T13" s="20"/>
      <c r="U13" s="19">
        <f t="shared" si="0"/>
        <v>15</v>
      </c>
      <c r="V13" s="19"/>
      <c r="W13" s="22">
        <f t="shared" si="1"/>
        <v>43.89150000000001</v>
      </c>
      <c r="X13" s="20"/>
      <c r="Y13" s="22">
        <f>((G13-I13)/((G13-I13)+U13))*100</f>
        <v>77.44096237312465</v>
      </c>
      <c r="AA13" s="22">
        <f>(U13/((G13-I13)+U13))*100</f>
        <v>22.559037626875355</v>
      </c>
    </row>
    <row r="14" spans="1:27" ht="12.75">
      <c r="A14" s="12" t="s">
        <v>87</v>
      </c>
      <c r="C14" s="8" t="s">
        <v>6</v>
      </c>
      <c r="E14" s="19">
        <v>31.43</v>
      </c>
      <c r="F14" s="20"/>
      <c r="G14" s="19">
        <f>100/(1-E14/100)</f>
        <v>145.83637159107482</v>
      </c>
      <c r="H14" s="22"/>
      <c r="I14" s="21">
        <v>100</v>
      </c>
      <c r="J14" s="23"/>
      <c r="K14" s="22"/>
      <c r="L14" s="20"/>
      <c r="M14" s="19">
        <f>29+11.16+6.25</f>
        <v>46.41</v>
      </c>
      <c r="N14" s="19"/>
      <c r="O14" s="19">
        <f>1.45*I14</f>
        <v>145</v>
      </c>
      <c r="P14" s="19"/>
      <c r="Q14" s="19">
        <f>18.9655+1.56*7</f>
        <v>29.8855</v>
      </c>
      <c r="R14" s="19"/>
      <c r="S14" s="19">
        <f>O14*Q14/100</f>
        <v>43.333975</v>
      </c>
      <c r="T14" s="20"/>
      <c r="U14" s="19">
        <f t="shared" si="0"/>
        <v>23.960524999999997</v>
      </c>
      <c r="V14" s="19"/>
      <c r="W14" s="22">
        <f t="shared" si="1"/>
        <v>47.8597319925</v>
      </c>
      <c r="X14" s="20"/>
      <c r="Y14" s="22">
        <f>((G14-I14)/((G14-I14)+U14))*100</f>
        <v>65.67107397284492</v>
      </c>
      <c r="AA14" s="22">
        <f>(U14/((G14-I14)+U14))*100</f>
        <v>34.32892602715508</v>
      </c>
    </row>
    <row r="15" spans="1:27" ht="12.75">
      <c r="A15" s="12" t="s">
        <v>41</v>
      </c>
      <c r="C15" s="8" t="s">
        <v>2</v>
      </c>
      <c r="E15" s="19">
        <v>17</v>
      </c>
      <c r="F15" s="20"/>
      <c r="G15" s="19">
        <f>100/(1-E15/100)</f>
        <v>120.48192771084338</v>
      </c>
      <c r="H15" s="22"/>
      <c r="I15" s="21">
        <v>100</v>
      </c>
      <c r="J15" s="23"/>
      <c r="K15" s="22" t="s">
        <v>34</v>
      </c>
      <c r="L15" s="20"/>
      <c r="M15" s="19">
        <v>40</v>
      </c>
      <c r="N15" s="19"/>
      <c r="O15" s="19">
        <v>120.48192771084338</v>
      </c>
      <c r="P15" s="19"/>
      <c r="Q15" s="19">
        <v>17.000000000000004</v>
      </c>
      <c r="R15" s="19"/>
      <c r="S15" s="19">
        <f>O15*Q15/100</f>
        <v>20.48192771084338</v>
      </c>
      <c r="T15" s="20" t="s">
        <v>40</v>
      </c>
      <c r="U15" s="19">
        <f>+(M15/100)*MAX(I15,O15)-S15</f>
        <v>27.710843373493972</v>
      </c>
      <c r="V15" s="19"/>
      <c r="W15" s="22">
        <f t="shared" si="1"/>
        <v>40</v>
      </c>
      <c r="X15" s="20"/>
      <c r="Y15" s="22">
        <f>((G15-I15)/((G15-I15)+U15))*100</f>
        <v>42.50000000000001</v>
      </c>
      <c r="AA15" s="22">
        <f>(U15/((G15-I15)+U15))*100</f>
        <v>57.499999999999986</v>
      </c>
    </row>
    <row r="16" spans="1:27" ht="12.75">
      <c r="A16" s="12" t="s">
        <v>7</v>
      </c>
      <c r="C16" s="8" t="s">
        <v>4</v>
      </c>
      <c r="E16" s="19">
        <v>21</v>
      </c>
      <c r="F16" s="20"/>
      <c r="G16" s="19">
        <f>100/(1-E16/100)</f>
        <v>126.58227848101265</v>
      </c>
      <c r="H16" s="22"/>
      <c r="I16" s="21">
        <v>100</v>
      </c>
      <c r="J16" s="23"/>
      <c r="K16" s="22">
        <v>15</v>
      </c>
      <c r="L16" s="20"/>
      <c r="M16" s="19">
        <v>15</v>
      </c>
      <c r="N16" s="19"/>
      <c r="O16" s="19"/>
      <c r="P16" s="19"/>
      <c r="Q16" s="19"/>
      <c r="R16" s="19"/>
      <c r="S16" s="19"/>
      <c r="T16" s="20"/>
      <c r="U16" s="19">
        <f t="shared" si="0"/>
        <v>15</v>
      </c>
      <c r="V16" s="19"/>
      <c r="W16" s="22">
        <f t="shared" si="1"/>
        <v>32.849999999999994</v>
      </c>
      <c r="X16" s="20"/>
      <c r="Y16" s="22">
        <f>((G16-I16)/((G16-I16)+U16))*100</f>
        <v>63.926940639269404</v>
      </c>
      <c r="AA16" s="22">
        <f>(U16/((G16-I16)+U16))*100</f>
        <v>36.0730593607306</v>
      </c>
    </row>
    <row r="17" spans="1:27" ht="12.75">
      <c r="A17" s="12" t="s">
        <v>8</v>
      </c>
      <c r="C17" s="8" t="s">
        <v>29</v>
      </c>
      <c r="E17" s="19">
        <v>25</v>
      </c>
      <c r="F17" s="20"/>
      <c r="G17" s="19">
        <f t="shared" si="2"/>
        <v>133.33333333333334</v>
      </c>
      <c r="H17" s="22"/>
      <c r="I17" s="21">
        <v>100</v>
      </c>
      <c r="J17" s="23"/>
      <c r="K17" s="22"/>
      <c r="L17" s="20"/>
      <c r="M17" s="19">
        <v>45</v>
      </c>
      <c r="N17" s="19"/>
      <c r="O17" s="19"/>
      <c r="P17" s="19"/>
      <c r="Q17" s="19"/>
      <c r="R17" s="19"/>
      <c r="S17" s="19"/>
      <c r="T17" s="20"/>
      <c r="U17" s="19">
        <f t="shared" si="0"/>
        <v>45</v>
      </c>
      <c r="V17" s="19"/>
      <c r="W17" s="22">
        <f aca="true" t="shared" si="5" ref="W17:W40">(G17-I17+U17)/G17*100</f>
        <v>58.75</v>
      </c>
      <c r="X17" s="20"/>
      <c r="Y17" s="22">
        <f t="shared" si="3"/>
        <v>42.55319148936171</v>
      </c>
      <c r="Z17" s="22" t="e">
        <f>+T17/(F17-H17+T17)*100</f>
        <v>#DIV/0!</v>
      </c>
      <c r="AA17" s="22">
        <f t="shared" si="4"/>
        <v>57.44680851063829</v>
      </c>
    </row>
    <row r="18" spans="1:27" ht="12.75">
      <c r="A18" s="12" t="s">
        <v>44</v>
      </c>
      <c r="C18" s="8" t="s">
        <v>30</v>
      </c>
      <c r="E18" s="8">
        <v>21</v>
      </c>
      <c r="G18" s="19">
        <v>126.58227848101265</v>
      </c>
      <c r="H18" s="24"/>
      <c r="I18" s="21">
        <v>100</v>
      </c>
      <c r="J18" s="23"/>
      <c r="K18" s="24" t="s">
        <v>34</v>
      </c>
      <c r="M18" s="8">
        <v>0</v>
      </c>
      <c r="N18" s="8"/>
      <c r="O18" s="8"/>
      <c r="P18" s="8"/>
      <c r="Q18" s="8"/>
      <c r="R18" s="8"/>
      <c r="S18" s="8"/>
      <c r="U18" s="19">
        <v>0</v>
      </c>
      <c r="V18" s="19"/>
      <c r="W18" s="22">
        <v>20.999999999999996</v>
      </c>
      <c r="X18" s="20"/>
      <c r="Y18" s="22">
        <v>100</v>
      </c>
      <c r="Z18" s="22"/>
      <c r="AA18" s="22">
        <v>0</v>
      </c>
    </row>
    <row r="19" spans="1:27" ht="12.75">
      <c r="A19" s="12" t="s">
        <v>88</v>
      </c>
      <c r="C19" s="8" t="s">
        <v>25</v>
      </c>
      <c r="E19" s="19">
        <v>26</v>
      </c>
      <c r="F19" s="20"/>
      <c r="G19" s="19">
        <f t="shared" si="2"/>
        <v>135.13513513513513</v>
      </c>
      <c r="H19" s="22"/>
      <c r="I19" s="21">
        <v>100</v>
      </c>
      <c r="J19" s="23"/>
      <c r="K19" s="22"/>
      <c r="L19" s="20"/>
      <c r="M19" s="19">
        <v>28</v>
      </c>
      <c r="N19" s="19"/>
      <c r="O19" s="19"/>
      <c r="P19" s="19"/>
      <c r="Q19" s="19"/>
      <c r="R19" s="19"/>
      <c r="S19" s="19"/>
      <c r="T19" s="20"/>
      <c r="U19" s="19">
        <f>I19*0.7*M19/100</f>
        <v>19.6</v>
      </c>
      <c r="V19" s="19"/>
      <c r="W19" s="22">
        <f t="shared" si="5"/>
        <v>40.504</v>
      </c>
      <c r="X19" s="20"/>
      <c r="Y19" s="22">
        <f t="shared" si="3"/>
        <v>64.19119099348211</v>
      </c>
      <c r="AA19" s="22">
        <f t="shared" si="4"/>
        <v>35.808809006517876</v>
      </c>
    </row>
    <row r="20" spans="1:27" ht="12.75">
      <c r="A20" s="12" t="s">
        <v>89</v>
      </c>
      <c r="C20" s="8" t="s">
        <v>25</v>
      </c>
      <c r="E20" s="19">
        <v>34.43</v>
      </c>
      <c r="F20" s="20"/>
      <c r="G20" s="19">
        <f>100/(1-E20/100)</f>
        <v>152.50876925423213</v>
      </c>
      <c r="H20" s="22"/>
      <c r="I20" s="21">
        <v>100</v>
      </c>
      <c r="J20" s="23"/>
      <c r="K20" s="22"/>
      <c r="L20" s="20"/>
      <c r="M20" s="19">
        <f>18+11</f>
        <v>29</v>
      </c>
      <c r="N20" s="19"/>
      <c r="O20" s="19"/>
      <c r="P20" s="19"/>
      <c r="Q20" s="19"/>
      <c r="R20" s="19"/>
      <c r="S20" s="19"/>
      <c r="T20" s="20"/>
      <c r="U20" s="19">
        <f>+(M20/100)*MAX(I20,O20)-S20</f>
        <v>28.999999999999996</v>
      </c>
      <c r="V20" s="19"/>
      <c r="W20" s="22">
        <f t="shared" si="5"/>
        <v>53.4453</v>
      </c>
      <c r="X20" s="20"/>
      <c r="Y20" s="22">
        <f t="shared" si="3"/>
        <v>64.4210061502134</v>
      </c>
      <c r="AA20" s="22">
        <f t="shared" si="4"/>
        <v>35.57899384978659</v>
      </c>
    </row>
    <row r="21" spans="1:27" ht="12.75">
      <c r="A21" s="12" t="s">
        <v>9</v>
      </c>
      <c r="C21" s="8" t="s">
        <v>4</v>
      </c>
      <c r="E21" s="19">
        <v>30.175</v>
      </c>
      <c r="F21" s="20"/>
      <c r="G21" s="19">
        <f t="shared" si="2"/>
        <v>143.21518080916576</v>
      </c>
      <c r="H21" s="22"/>
      <c r="I21" s="21">
        <v>100</v>
      </c>
      <c r="J21" s="23"/>
      <c r="K21" s="22">
        <v>26.375</v>
      </c>
      <c r="L21" s="20"/>
      <c r="M21" s="19">
        <v>26.375</v>
      </c>
      <c r="N21" s="19"/>
      <c r="O21" s="19"/>
      <c r="P21" s="19"/>
      <c r="Q21" s="19"/>
      <c r="R21" s="19"/>
      <c r="S21" s="19"/>
      <c r="T21" s="20"/>
      <c r="U21" s="22">
        <v>26.375</v>
      </c>
      <c r="V21" s="19"/>
      <c r="W21" s="22">
        <f t="shared" si="5"/>
        <v>48.59134374999999</v>
      </c>
      <c r="X21" s="20"/>
      <c r="Y21" s="22">
        <f t="shared" si="3"/>
        <v>62.09953804786474</v>
      </c>
      <c r="AA21" s="22">
        <f t="shared" si="4"/>
        <v>37.90046195213526</v>
      </c>
    </row>
    <row r="22" spans="1:27" ht="12.75">
      <c r="A22" s="12" t="s">
        <v>10</v>
      </c>
      <c r="C22" s="8" t="s">
        <v>30</v>
      </c>
      <c r="E22" s="19">
        <v>25</v>
      </c>
      <c r="F22" s="20"/>
      <c r="G22" s="19">
        <f t="shared" si="2"/>
        <v>133.33333333333334</v>
      </c>
      <c r="H22" s="22"/>
      <c r="I22" s="21">
        <v>100</v>
      </c>
      <c r="J22" s="23"/>
      <c r="K22" s="22"/>
      <c r="L22" s="20"/>
      <c r="M22" s="19">
        <v>0</v>
      </c>
      <c r="N22" s="19"/>
      <c r="O22" s="19"/>
      <c r="P22" s="19"/>
      <c r="Q22" s="19"/>
      <c r="R22" s="19"/>
      <c r="S22" s="19"/>
      <c r="T22" s="20"/>
      <c r="U22" s="19">
        <v>0</v>
      </c>
      <c r="V22" s="19"/>
      <c r="W22" s="22">
        <f>(G22-I22+U22)/G22*100</f>
        <v>25.000000000000007</v>
      </c>
      <c r="X22" s="20"/>
      <c r="Y22" s="22">
        <f>((G22-I22)/((G22-I22)+U22))*100</f>
        <v>100</v>
      </c>
      <c r="AA22" s="22">
        <f>(U22/((G22-I22)+U22))*100</f>
        <v>0</v>
      </c>
    </row>
    <row r="23" spans="1:27" ht="12.75">
      <c r="A23" s="12" t="s">
        <v>70</v>
      </c>
      <c r="C23" s="8" t="s">
        <v>27</v>
      </c>
      <c r="E23" s="19">
        <v>20</v>
      </c>
      <c r="F23" s="20"/>
      <c r="G23" s="19">
        <f t="shared" si="2"/>
        <v>125</v>
      </c>
      <c r="H23" s="22"/>
      <c r="I23" s="21">
        <v>100</v>
      </c>
      <c r="J23" s="23"/>
      <c r="K23" s="22"/>
      <c r="L23" s="20"/>
      <c r="M23" s="19">
        <v>35</v>
      </c>
      <c r="N23" s="19"/>
      <c r="O23" s="19"/>
      <c r="P23" s="19"/>
      <c r="Q23" s="19"/>
      <c r="R23" s="19"/>
      <c r="S23" s="19"/>
      <c r="T23" s="20"/>
      <c r="U23" s="19">
        <f aca="true" t="shared" si="6" ref="U23:U29">+(M23/100)*MAX(I23,O23)-S23</f>
        <v>35</v>
      </c>
      <c r="V23" s="19"/>
      <c r="W23" s="22">
        <f t="shared" si="5"/>
        <v>48</v>
      </c>
      <c r="X23" s="20"/>
      <c r="Y23" s="22">
        <f>((G23-I23)/((G23-I23)+U23))*100</f>
        <v>41.66666666666667</v>
      </c>
      <c r="AA23" s="22">
        <f>(U23/((G23-I23)+U23))*100</f>
        <v>58.333333333333336</v>
      </c>
    </row>
    <row r="24" spans="1:27" ht="12.75">
      <c r="A24" s="12" t="s">
        <v>11</v>
      </c>
      <c r="C24" s="8" t="s">
        <v>4</v>
      </c>
      <c r="E24" s="19">
        <v>15</v>
      </c>
      <c r="F24" s="20"/>
      <c r="G24" s="19">
        <f t="shared" si="2"/>
        <v>117.64705882352942</v>
      </c>
      <c r="H24" s="19"/>
      <c r="I24" s="21">
        <v>100</v>
      </c>
      <c r="J24" s="23"/>
      <c r="K24" s="22"/>
      <c r="L24" s="20"/>
      <c r="M24" s="19">
        <v>10</v>
      </c>
      <c r="N24" s="19"/>
      <c r="O24" s="19"/>
      <c r="P24" s="19"/>
      <c r="Q24" s="19"/>
      <c r="R24" s="19"/>
      <c r="S24" s="19"/>
      <c r="T24" s="20"/>
      <c r="U24" s="19">
        <f t="shared" si="6"/>
        <v>10</v>
      </c>
      <c r="V24" s="19"/>
      <c r="W24" s="22">
        <f t="shared" si="5"/>
        <v>23.500000000000004</v>
      </c>
      <c r="X24" s="20"/>
      <c r="Y24" s="22">
        <f aca="true" t="shared" si="7" ref="Y24:Y40">((G24-I24)/((G24-I24)+U24))*100</f>
        <v>63.82978723404257</v>
      </c>
      <c r="AA24" s="22">
        <f aca="true" t="shared" si="8" ref="AA24:AA40">(U24/((G24-I24)+U24))*100</f>
        <v>36.17021276595744</v>
      </c>
    </row>
    <row r="25" spans="1:27" ht="12.75">
      <c r="A25" s="12" t="s">
        <v>12</v>
      </c>
      <c r="C25" s="8" t="s">
        <v>4</v>
      </c>
      <c r="E25" s="19">
        <v>12.5</v>
      </c>
      <c r="F25" s="20"/>
      <c r="G25" s="19">
        <f t="shared" si="2"/>
        <v>114.28571428571429</v>
      </c>
      <c r="H25" s="19"/>
      <c r="I25" s="21">
        <v>100</v>
      </c>
      <c r="J25" s="21"/>
      <c r="K25" s="19"/>
      <c r="L25" s="20"/>
      <c r="M25" s="19">
        <v>41</v>
      </c>
      <c r="N25" s="19"/>
      <c r="O25" s="19"/>
      <c r="P25" s="19"/>
      <c r="Q25" s="19"/>
      <c r="R25" s="19"/>
      <c r="S25" s="19"/>
      <c r="T25" s="20"/>
      <c r="U25" s="19">
        <f t="shared" si="6"/>
        <v>41</v>
      </c>
      <c r="V25" s="19"/>
      <c r="W25" s="22">
        <f t="shared" si="5"/>
        <v>48.375</v>
      </c>
      <c r="X25" s="20"/>
      <c r="Y25" s="22">
        <f>((G25-I25)/((G25-I25)+U25))*100</f>
        <v>25.839793281653755</v>
      </c>
      <c r="AA25" s="22">
        <f>(U25/((G25-I25)+U25))*100</f>
        <v>74.16020671834625</v>
      </c>
    </row>
    <row r="26" spans="1:27" ht="12.75">
      <c r="A26" s="12" t="s">
        <v>43</v>
      </c>
      <c r="C26" s="8" t="s">
        <v>29</v>
      </c>
      <c r="E26" s="8">
        <v>27</v>
      </c>
      <c r="F26" s="20"/>
      <c r="G26" s="19">
        <v>136.986301369863</v>
      </c>
      <c r="H26" s="19"/>
      <c r="I26" s="21">
        <v>100</v>
      </c>
      <c r="J26" s="21"/>
      <c r="K26" s="19"/>
      <c r="L26" s="20"/>
      <c r="M26" s="19">
        <v>25</v>
      </c>
      <c r="N26" s="19"/>
      <c r="O26" s="19"/>
      <c r="P26" s="19"/>
      <c r="Q26" s="19"/>
      <c r="R26" s="19"/>
      <c r="S26" s="19"/>
      <c r="T26" s="20"/>
      <c r="U26" s="19">
        <v>25</v>
      </c>
      <c r="V26" s="19"/>
      <c r="W26" s="22">
        <v>45.25</v>
      </c>
      <c r="X26" s="20"/>
      <c r="Y26" s="22">
        <v>59.66850828729282</v>
      </c>
      <c r="Z26" s="20"/>
      <c r="AA26" s="22">
        <v>40.331491712707184</v>
      </c>
    </row>
    <row r="27" spans="1:27" ht="12.75">
      <c r="A27" s="12" t="s">
        <v>90</v>
      </c>
      <c r="C27" s="8" t="s">
        <v>38</v>
      </c>
      <c r="E27" s="19">
        <v>27.5</v>
      </c>
      <c r="F27" s="20"/>
      <c r="G27" s="19">
        <f>100/(1-E27/100)</f>
        <v>137.93103448275863</v>
      </c>
      <c r="H27" s="22"/>
      <c r="I27" s="21">
        <v>100</v>
      </c>
      <c r="J27" s="23"/>
      <c r="K27" s="22">
        <v>12.5</v>
      </c>
      <c r="L27" s="20"/>
      <c r="M27" s="19">
        <v>12.5</v>
      </c>
      <c r="N27" s="19"/>
      <c r="O27" s="19"/>
      <c r="P27" s="19"/>
      <c r="Q27" s="19"/>
      <c r="R27" s="19"/>
      <c r="S27" s="19"/>
      <c r="T27" s="20"/>
      <c r="U27" s="19">
        <f t="shared" si="6"/>
        <v>12.5</v>
      </c>
      <c r="V27" s="19"/>
      <c r="W27" s="22">
        <f>(G27-I27+U27)/G27*100</f>
        <v>36.5625</v>
      </c>
      <c r="X27" s="20"/>
      <c r="Y27" s="22">
        <f>((G27-I27)/((G27-I27)+U27))*100</f>
        <v>75.21367521367523</v>
      </c>
      <c r="AA27" s="22">
        <f>(U27/((G27-I27)+U27))*100</f>
        <v>24.78632478632478</v>
      </c>
    </row>
    <row r="28" spans="1:27" ht="12.75">
      <c r="A28" s="12" t="s">
        <v>91</v>
      </c>
      <c r="C28" s="8" t="s">
        <v>29</v>
      </c>
      <c r="E28" s="19">
        <v>39.54</v>
      </c>
      <c r="G28" s="19">
        <f t="shared" si="2"/>
        <v>165.3986106516705</v>
      </c>
      <c r="H28" s="8"/>
      <c r="I28" s="21">
        <v>100</v>
      </c>
      <c r="J28" s="21"/>
      <c r="K28" s="19">
        <v>10</v>
      </c>
      <c r="M28" s="19">
        <v>10</v>
      </c>
      <c r="N28" s="19"/>
      <c r="O28" s="19"/>
      <c r="P28" s="8"/>
      <c r="Q28" s="19"/>
      <c r="R28" s="19"/>
      <c r="S28" s="19"/>
      <c r="U28" s="19">
        <f t="shared" si="6"/>
        <v>10</v>
      </c>
      <c r="V28" s="8"/>
      <c r="W28" s="22">
        <f t="shared" si="5"/>
        <v>45.58599999999999</v>
      </c>
      <c r="X28" s="19"/>
      <c r="Y28" s="22">
        <f t="shared" si="7"/>
        <v>86.7371561444303</v>
      </c>
      <c r="Z28" s="20"/>
      <c r="AA28" s="22">
        <f t="shared" si="8"/>
        <v>13.262843855569695</v>
      </c>
    </row>
    <row r="29" spans="1:27" ht="12.75">
      <c r="A29" s="12" t="s">
        <v>15</v>
      </c>
      <c r="C29" s="8" t="s">
        <v>6</v>
      </c>
      <c r="E29" s="19">
        <v>27.5</v>
      </c>
      <c r="G29" s="19">
        <f>100/(1-E29/100)</f>
        <v>137.93103448275863</v>
      </c>
      <c r="H29" s="8"/>
      <c r="I29" s="21">
        <v>100</v>
      </c>
      <c r="J29" s="33"/>
      <c r="K29" s="19"/>
      <c r="L29" s="19"/>
      <c r="M29" s="19">
        <v>38.5</v>
      </c>
      <c r="N29" s="20"/>
      <c r="O29" s="19">
        <v>115</v>
      </c>
      <c r="Q29" s="19">
        <f>(O29-100)/O29*100</f>
        <v>13.043478260869565</v>
      </c>
      <c r="R29" s="19"/>
      <c r="S29" s="19">
        <f>+O29*Q29/100</f>
        <v>15</v>
      </c>
      <c r="U29" s="19">
        <f t="shared" si="6"/>
        <v>29.275</v>
      </c>
      <c r="V29" s="8"/>
      <c r="W29" s="22">
        <f t="shared" si="5"/>
        <v>48.72437500000001</v>
      </c>
      <c r="X29" s="30"/>
      <c r="Y29" s="22">
        <f>((G29-I29)/((G29-I29)+U29))*100</f>
        <v>56.4399235495581</v>
      </c>
      <c r="AA29" s="22">
        <f>(U29/((G29-I29)+U29))*100</f>
        <v>43.56007645044188</v>
      </c>
    </row>
    <row r="30" spans="1:27" ht="12.75">
      <c r="A30" s="12" t="s">
        <v>16</v>
      </c>
      <c r="C30" s="8" t="s">
        <v>25</v>
      </c>
      <c r="E30" s="19">
        <v>30.4</v>
      </c>
      <c r="F30" s="20"/>
      <c r="G30" s="19">
        <f t="shared" si="2"/>
        <v>143.67816091954023</v>
      </c>
      <c r="H30" s="22"/>
      <c r="I30" s="21">
        <v>100</v>
      </c>
      <c r="J30" s="23"/>
      <c r="K30" s="22"/>
      <c r="L30" s="20"/>
      <c r="M30" s="19">
        <v>38.95</v>
      </c>
      <c r="N30" s="19"/>
      <c r="O30" s="19"/>
      <c r="P30" s="19"/>
      <c r="Q30" s="19"/>
      <c r="R30" s="19"/>
      <c r="S30" s="19"/>
      <c r="T30" s="20"/>
      <c r="U30" s="19">
        <f>I30/2*M30/100</f>
        <v>19.475</v>
      </c>
      <c r="V30" s="19"/>
      <c r="W30" s="22">
        <f t="shared" si="5"/>
        <v>43.954600000000006</v>
      </c>
      <c r="X30" s="20"/>
      <c r="Y30" s="22">
        <f t="shared" si="7"/>
        <v>69.16227198063456</v>
      </c>
      <c r="AA30" s="22">
        <f t="shared" si="8"/>
        <v>30.837728019365436</v>
      </c>
    </row>
    <row r="31" spans="1:27" ht="12.75">
      <c r="A31" s="12" t="s">
        <v>17</v>
      </c>
      <c r="C31" s="8" t="s">
        <v>2</v>
      </c>
      <c r="E31" s="19">
        <v>28</v>
      </c>
      <c r="F31" s="20"/>
      <c r="G31" s="19">
        <f t="shared" si="2"/>
        <v>138.88888888888889</v>
      </c>
      <c r="H31" s="19"/>
      <c r="I31" s="21">
        <v>100</v>
      </c>
      <c r="J31" s="21"/>
      <c r="K31" s="19"/>
      <c r="L31" s="20"/>
      <c r="M31" s="19">
        <v>28</v>
      </c>
      <c r="N31" s="19"/>
      <c r="O31" s="19">
        <f>100/(1-M31/100)</f>
        <v>138.88888888888889</v>
      </c>
      <c r="P31" s="19"/>
      <c r="Q31" s="19">
        <f>+((G31-100)/G31)*100</f>
        <v>27.999999999999996</v>
      </c>
      <c r="R31" s="19"/>
      <c r="S31" s="19">
        <f>I31*(Q31/(100-Q31))</f>
        <v>38.888888888888886</v>
      </c>
      <c r="T31" s="20"/>
      <c r="U31" s="19">
        <f>((Q31/100)*O31)-S31</f>
        <v>0</v>
      </c>
      <c r="V31" s="19"/>
      <c r="W31" s="22">
        <f>(G31-I31+U31)/G31*100</f>
        <v>27.999999999999996</v>
      </c>
      <c r="X31" s="20"/>
      <c r="Y31" s="22">
        <f t="shared" si="7"/>
        <v>100</v>
      </c>
      <c r="AA31" s="22">
        <f t="shared" si="8"/>
        <v>0</v>
      </c>
    </row>
    <row r="32" spans="1:27" ht="12.75">
      <c r="A32" s="12" t="s">
        <v>99</v>
      </c>
      <c r="C32" s="8" t="s">
        <v>4</v>
      </c>
      <c r="E32" s="19">
        <v>25.5</v>
      </c>
      <c r="F32" s="20"/>
      <c r="G32" s="19">
        <f t="shared" si="2"/>
        <v>134.2281879194631</v>
      </c>
      <c r="H32" s="19"/>
      <c r="I32" s="21">
        <v>100</v>
      </c>
      <c r="J32" s="21"/>
      <c r="K32" s="19"/>
      <c r="L32" s="20"/>
      <c r="M32" s="19">
        <v>25</v>
      </c>
      <c r="N32" s="19"/>
      <c r="O32" s="19"/>
      <c r="P32" s="19"/>
      <c r="Q32" s="19"/>
      <c r="R32" s="19"/>
      <c r="S32" s="19"/>
      <c r="T32" s="20"/>
      <c r="U32" s="19">
        <f aca="true" t="shared" si="9" ref="U32:U40">+(M32/100)*MAX(I32,O32)-S32</f>
        <v>25</v>
      </c>
      <c r="V32" s="19"/>
      <c r="W32" s="22">
        <f t="shared" si="5"/>
        <v>44.125</v>
      </c>
      <c r="X32" s="20"/>
      <c r="Y32" s="22">
        <f t="shared" si="7"/>
        <v>57.790368271954684</v>
      </c>
      <c r="AA32" s="22">
        <f t="shared" si="8"/>
        <v>42.20963172804532</v>
      </c>
    </row>
    <row r="33" spans="1:27" ht="12.75">
      <c r="A33" s="12" t="s">
        <v>100</v>
      </c>
      <c r="C33" s="8" t="s">
        <v>2</v>
      </c>
      <c r="E33" s="19">
        <v>30</v>
      </c>
      <c r="F33" s="20"/>
      <c r="G33" s="19">
        <f>100/(1-E33/100)</f>
        <v>142.85714285714286</v>
      </c>
      <c r="H33" s="19"/>
      <c r="I33" s="21">
        <v>100</v>
      </c>
      <c r="J33" s="21"/>
      <c r="K33" s="19"/>
      <c r="L33" s="20"/>
      <c r="M33" s="19">
        <v>39</v>
      </c>
      <c r="N33" s="19"/>
      <c r="O33" s="19">
        <f>I33/(1-E33/100)</f>
        <v>142.85714285714286</v>
      </c>
      <c r="P33" s="19"/>
      <c r="Q33" s="19">
        <f>(O33-100)/O33*100</f>
        <v>30.000000000000004</v>
      </c>
      <c r="R33" s="19"/>
      <c r="S33" s="19">
        <f>+I33*(Q33/(100-Q33))</f>
        <v>42.85714285714286</v>
      </c>
      <c r="T33" s="20"/>
      <c r="U33" s="19">
        <f>+(M33/100)*MAX(I33,O33)-S33</f>
        <v>12.857142857142854</v>
      </c>
      <c r="V33" s="19"/>
      <c r="W33" s="22">
        <f>(G33-I33+U33)/G33*100</f>
        <v>39</v>
      </c>
      <c r="X33" s="20"/>
      <c r="Y33" s="22">
        <f>((G33-I33)/((G33-I33)+U33))*100</f>
        <v>76.92307692307693</v>
      </c>
      <c r="AA33" s="22">
        <f>(U33/((G33-I33)+U33))*100</f>
        <v>23.07692307692307</v>
      </c>
    </row>
    <row r="34" spans="1:27" ht="12.75">
      <c r="A34" s="12" t="s">
        <v>101</v>
      </c>
      <c r="C34" s="8" t="s">
        <v>27</v>
      </c>
      <c r="E34" s="19">
        <v>28</v>
      </c>
      <c r="F34" s="20"/>
      <c r="G34" s="19">
        <f t="shared" si="2"/>
        <v>138.88888888888889</v>
      </c>
      <c r="H34" s="19"/>
      <c r="I34" s="21">
        <v>100</v>
      </c>
      <c r="J34" s="21"/>
      <c r="K34" s="19"/>
      <c r="L34" s="20"/>
      <c r="M34" s="19">
        <v>28</v>
      </c>
      <c r="N34" s="19"/>
      <c r="O34" s="19"/>
      <c r="P34" s="19"/>
      <c r="Q34" s="19"/>
      <c r="R34" s="19"/>
      <c r="S34" s="19"/>
      <c r="T34" s="20"/>
      <c r="U34" s="19">
        <f t="shared" si="9"/>
        <v>28.000000000000004</v>
      </c>
      <c r="V34" s="19"/>
      <c r="W34" s="22">
        <f>(G34-I34+U34)/G34*100</f>
        <v>48.16</v>
      </c>
      <c r="X34" s="20"/>
      <c r="Y34" s="22">
        <f t="shared" si="7"/>
        <v>58.139534883720934</v>
      </c>
      <c r="AA34" s="22">
        <f t="shared" si="8"/>
        <v>41.86046511627908</v>
      </c>
    </row>
    <row r="35" spans="1:27" ht="12.75">
      <c r="A35" s="12" t="s">
        <v>36</v>
      </c>
      <c r="C35" s="8" t="s">
        <v>29</v>
      </c>
      <c r="E35" s="19">
        <v>19</v>
      </c>
      <c r="F35" s="20"/>
      <c r="G35" s="19">
        <f t="shared" si="2"/>
        <v>123.45679012345678</v>
      </c>
      <c r="H35" s="22"/>
      <c r="I35" s="21">
        <v>100</v>
      </c>
      <c r="J35" s="23"/>
      <c r="K35" s="19">
        <v>19</v>
      </c>
      <c r="L35" s="19">
        <v>15</v>
      </c>
      <c r="M35" s="19">
        <v>19</v>
      </c>
      <c r="N35" s="19"/>
      <c r="O35" s="19"/>
      <c r="P35" s="19"/>
      <c r="Q35" s="19"/>
      <c r="R35" s="19"/>
      <c r="S35" s="19"/>
      <c r="T35" s="20"/>
      <c r="U35" s="19">
        <f t="shared" si="9"/>
        <v>19</v>
      </c>
      <c r="V35" s="19"/>
      <c r="W35" s="22">
        <f t="shared" si="5"/>
        <v>34.39</v>
      </c>
      <c r="X35" s="20"/>
      <c r="Y35" s="22">
        <f t="shared" si="7"/>
        <v>55.24861878453038</v>
      </c>
      <c r="AA35" s="22">
        <f t="shared" si="8"/>
        <v>44.75138121546962</v>
      </c>
    </row>
    <row r="36" spans="1:27" ht="12.75">
      <c r="A36" s="12" t="s">
        <v>20</v>
      </c>
      <c r="C36" s="8" t="s">
        <v>29</v>
      </c>
      <c r="E36" s="19">
        <v>26.5</v>
      </c>
      <c r="F36" s="20"/>
      <c r="G36" s="19">
        <f>100/(1-E36/100)</f>
        <v>136.0544217687075</v>
      </c>
      <c r="H36" s="19"/>
      <c r="I36" s="21">
        <v>100</v>
      </c>
      <c r="J36" s="21"/>
      <c r="K36" s="19">
        <v>20</v>
      </c>
      <c r="L36" s="20"/>
      <c r="M36" s="19">
        <v>20</v>
      </c>
      <c r="N36" s="19"/>
      <c r="O36" s="19"/>
      <c r="P36" s="19"/>
      <c r="Q36" s="19"/>
      <c r="R36" s="19"/>
      <c r="S36" s="19"/>
      <c r="T36" s="20"/>
      <c r="U36" s="19">
        <f>+(M36/100)*MAX(I36,O36)-S36</f>
        <v>20</v>
      </c>
      <c r="V36" s="19"/>
      <c r="W36" s="22">
        <f t="shared" si="5"/>
        <v>41.20000000000001</v>
      </c>
      <c r="X36" s="20"/>
      <c r="Y36" s="22">
        <f t="shared" si="7"/>
        <v>64.32038834951457</v>
      </c>
      <c r="AA36" s="22">
        <f t="shared" si="8"/>
        <v>35.67961165048543</v>
      </c>
    </row>
    <row r="37" spans="1:27" ht="12.75">
      <c r="A37" s="12" t="s">
        <v>21</v>
      </c>
      <c r="C37" s="8" t="s">
        <v>30</v>
      </c>
      <c r="E37" s="19">
        <v>19</v>
      </c>
      <c r="F37" s="20"/>
      <c r="G37" s="19">
        <f t="shared" si="2"/>
        <v>123.45679012345678</v>
      </c>
      <c r="H37" s="22"/>
      <c r="I37" s="21">
        <v>100</v>
      </c>
      <c r="J37" s="23"/>
      <c r="K37" s="22"/>
      <c r="L37" s="20"/>
      <c r="M37" s="19">
        <v>0</v>
      </c>
      <c r="N37" s="19"/>
      <c r="O37" s="19"/>
      <c r="P37" s="19"/>
      <c r="Q37" s="19"/>
      <c r="R37" s="19"/>
      <c r="S37" s="19"/>
      <c r="T37" s="20"/>
      <c r="U37" s="19">
        <f t="shared" si="9"/>
        <v>0</v>
      </c>
      <c r="V37" s="19"/>
      <c r="W37" s="22">
        <f t="shared" si="5"/>
        <v>18.999999999999996</v>
      </c>
      <c r="X37" s="20"/>
      <c r="Y37" s="22">
        <f t="shared" si="7"/>
        <v>100</v>
      </c>
      <c r="AA37" s="22">
        <f t="shared" si="8"/>
        <v>0</v>
      </c>
    </row>
    <row r="38" spans="1:27" ht="12.75">
      <c r="A38" s="12" t="s">
        <v>42</v>
      </c>
      <c r="C38" s="8" t="s">
        <v>4</v>
      </c>
      <c r="E38" s="8">
        <v>22</v>
      </c>
      <c r="G38" s="19">
        <v>128.2051282051282</v>
      </c>
      <c r="H38" s="24"/>
      <c r="I38" s="21">
        <v>100</v>
      </c>
      <c r="J38" s="23"/>
      <c r="K38" s="24"/>
      <c r="M38" s="19">
        <v>20</v>
      </c>
      <c r="N38" s="19"/>
      <c r="O38" s="19"/>
      <c r="P38" s="19"/>
      <c r="Q38" s="19"/>
      <c r="R38" s="19"/>
      <c r="S38" s="19"/>
      <c r="T38" s="20"/>
      <c r="U38" s="19">
        <v>20</v>
      </c>
      <c r="V38" s="19"/>
      <c r="W38" s="22">
        <v>37.6</v>
      </c>
      <c r="X38" s="20"/>
      <c r="Y38" s="22">
        <v>58.51063829787234</v>
      </c>
      <c r="Z38" s="20"/>
      <c r="AA38" s="22">
        <v>41.48936170212766</v>
      </c>
    </row>
    <row r="39" spans="1:27" ht="12.75">
      <c r="A39" s="12" t="s">
        <v>102</v>
      </c>
      <c r="C39" s="8" t="s">
        <v>29</v>
      </c>
      <c r="D39" s="8"/>
      <c r="E39" s="19">
        <v>30</v>
      </c>
      <c r="F39" s="8"/>
      <c r="G39" s="19">
        <f t="shared" si="2"/>
        <v>142.85714285714286</v>
      </c>
      <c r="H39" s="8"/>
      <c r="I39" s="21">
        <v>100</v>
      </c>
      <c r="J39" s="21"/>
      <c r="K39" s="8"/>
      <c r="L39" s="8"/>
      <c r="M39" s="19">
        <v>18</v>
      </c>
      <c r="N39" s="8"/>
      <c r="O39" s="8"/>
      <c r="P39" s="8"/>
      <c r="Q39" s="19"/>
      <c r="R39" s="8"/>
      <c r="S39" s="19"/>
      <c r="T39" s="8"/>
      <c r="U39" s="19">
        <f t="shared" si="9"/>
        <v>18</v>
      </c>
      <c r="V39" s="8"/>
      <c r="W39" s="22">
        <f t="shared" si="5"/>
        <v>42.6</v>
      </c>
      <c r="X39" s="8"/>
      <c r="Y39" s="22">
        <f t="shared" si="7"/>
        <v>70.42253521126761</v>
      </c>
      <c r="Z39" s="8"/>
      <c r="AA39" s="22">
        <f t="shared" si="8"/>
        <v>29.577464788732392</v>
      </c>
    </row>
    <row r="40" spans="1:27" ht="12.75">
      <c r="A40" s="12" t="s">
        <v>23</v>
      </c>
      <c r="C40" s="8" t="s">
        <v>4</v>
      </c>
      <c r="E40" s="19">
        <v>28</v>
      </c>
      <c r="F40" s="20"/>
      <c r="G40" s="19">
        <f t="shared" si="2"/>
        <v>138.88888888888889</v>
      </c>
      <c r="H40" s="19"/>
      <c r="I40" s="21">
        <v>100</v>
      </c>
      <c r="J40" s="21"/>
      <c r="K40" s="19"/>
      <c r="L40" s="20"/>
      <c r="M40" s="19">
        <v>30</v>
      </c>
      <c r="N40" s="19"/>
      <c r="O40" s="19"/>
      <c r="P40" s="19"/>
      <c r="Q40" s="19"/>
      <c r="R40" s="19"/>
      <c r="S40" s="19"/>
      <c r="T40" s="20"/>
      <c r="U40" s="19">
        <f t="shared" si="9"/>
        <v>30</v>
      </c>
      <c r="V40" s="19"/>
      <c r="W40" s="22">
        <f t="shared" si="5"/>
        <v>49.6</v>
      </c>
      <c r="X40" s="20"/>
      <c r="Y40" s="22">
        <f t="shared" si="7"/>
        <v>56.4516129032258</v>
      </c>
      <c r="AA40" s="22">
        <f t="shared" si="8"/>
        <v>43.54838709677419</v>
      </c>
    </row>
    <row r="41" spans="1:27" ht="12.75">
      <c r="A41" s="12" t="s">
        <v>103</v>
      </c>
      <c r="C41" s="8" t="s">
        <v>33</v>
      </c>
      <c r="E41" s="19">
        <v>21.17</v>
      </c>
      <c r="F41" s="20"/>
      <c r="G41" s="19">
        <f t="shared" si="2"/>
        <v>126.85525815045034</v>
      </c>
      <c r="H41" s="19"/>
      <c r="I41" s="21">
        <v>100</v>
      </c>
      <c r="J41" s="21"/>
      <c r="K41" s="19"/>
      <c r="L41" s="20"/>
      <c r="M41" s="19">
        <f>(13*0.5)*(1+1.19)+11.5</f>
        <v>25.735</v>
      </c>
      <c r="N41" s="19"/>
      <c r="O41" s="19"/>
      <c r="P41" s="19"/>
      <c r="Q41" s="19"/>
      <c r="R41" s="19"/>
      <c r="S41" s="19"/>
      <c r="T41" s="20"/>
      <c r="U41" s="19">
        <f>+(M41/100)*MAX(I41,O41)-S41</f>
        <v>25.734999999999996</v>
      </c>
      <c r="V41" s="19"/>
      <c r="W41" s="22">
        <f>(G41-I41+U41)/G41*100</f>
        <v>41.456900499999996</v>
      </c>
      <c r="X41" s="20"/>
      <c r="Y41" s="22">
        <f>((G41-I41)/((G41-I41)+U41))*100</f>
        <v>51.06508143318626</v>
      </c>
      <c r="AA41" s="22">
        <f>(U41/((G41-I41)+U41))*100</f>
        <v>48.934918566813735</v>
      </c>
    </row>
    <row r="42" spans="1:27" ht="12.75">
      <c r="A42" s="12" t="s">
        <v>24</v>
      </c>
      <c r="C42" s="8" t="s">
        <v>25</v>
      </c>
      <c r="E42" s="19">
        <v>20</v>
      </c>
      <c r="F42" s="20"/>
      <c r="G42" s="19">
        <f t="shared" si="2"/>
        <v>125</v>
      </c>
      <c r="H42" s="19"/>
      <c r="I42" s="21">
        <v>100</v>
      </c>
      <c r="J42" s="21"/>
      <c r="K42" s="32"/>
      <c r="L42" s="20"/>
      <c r="M42" s="19">
        <v>35</v>
      </c>
      <c r="N42" s="19"/>
      <c r="O42" s="19"/>
      <c r="P42" s="19"/>
      <c r="Q42" s="19"/>
      <c r="R42" s="19"/>
      <c r="S42" s="19"/>
      <c r="T42" s="20"/>
      <c r="U42" s="19">
        <f>(I42/2*M42/100)-(I42*15/100)+(I42*15/100)</f>
        <v>17.5</v>
      </c>
      <c r="V42" s="19"/>
      <c r="W42" s="22">
        <f>(G42-I42+U42)/G42*100</f>
        <v>34</v>
      </c>
      <c r="X42" s="20"/>
      <c r="Y42" s="22">
        <f>((G42-I42)/((G42-I42)+U42))*100</f>
        <v>58.82352941176471</v>
      </c>
      <c r="Z42" s="22" t="e">
        <f>(H42-J42)/(H42-J42+L42+V42)*100</f>
        <v>#DIV/0!</v>
      </c>
      <c r="AA42" s="22">
        <f>(U42/((G42-I42)+U42))*100</f>
        <v>41.17647058823529</v>
      </c>
    </row>
    <row r="43" spans="1:27" ht="12.75">
      <c r="A43" s="12" t="s">
        <v>104</v>
      </c>
      <c r="C43" s="8" t="s">
        <v>6</v>
      </c>
      <c r="D43" s="8"/>
      <c r="E43" s="19">
        <v>28</v>
      </c>
      <c r="F43" s="20"/>
      <c r="G43" s="19">
        <f>100/(1-E43/100)</f>
        <v>138.88888888888889</v>
      </c>
      <c r="H43" s="19"/>
      <c r="I43" s="21">
        <v>100</v>
      </c>
      <c r="J43" s="21"/>
      <c r="K43" s="19"/>
      <c r="L43" s="20"/>
      <c r="M43" s="19">
        <v>32.5</v>
      </c>
      <c r="N43" s="19"/>
      <c r="O43" s="19">
        <v>111.11</v>
      </c>
      <c r="P43" s="19"/>
      <c r="Q43" s="19">
        <f>(O43-100)/O43*100</f>
        <v>9.99909999099991</v>
      </c>
      <c r="R43" s="19"/>
      <c r="S43" s="19">
        <f>+I43*(Q43/(100-Q43))</f>
        <v>11.110000000000001</v>
      </c>
      <c r="T43" s="20"/>
      <c r="U43" s="19">
        <f>+(M43/100)*MAX(I43,O43)-S43</f>
        <v>25.000750000000004</v>
      </c>
      <c r="V43" s="19"/>
      <c r="W43" s="22">
        <f>(G43-I43+U43)/G43*100</f>
        <v>46.00054</v>
      </c>
      <c r="X43" s="22"/>
      <c r="Y43" s="22">
        <f>((G43-I43)/((G43-I43)+U43))*100</f>
        <v>60.86885067001386</v>
      </c>
      <c r="Z43" s="20"/>
      <c r="AA43" s="22">
        <f>(U43/((G43-I43)+U43))*100</f>
        <v>39.13114932998613</v>
      </c>
    </row>
    <row r="44" spans="1:27" ht="16.5">
      <c r="A44" s="12" t="s">
        <v>105</v>
      </c>
      <c r="C44" s="8" t="s">
        <v>29</v>
      </c>
      <c r="E44" s="19">
        <v>39.3</v>
      </c>
      <c r="F44" s="20"/>
      <c r="G44" s="19">
        <f>100/(1-E44/100)</f>
        <v>164.74464579901155</v>
      </c>
      <c r="H44" s="19"/>
      <c r="I44" s="21">
        <v>100</v>
      </c>
      <c r="J44" s="21"/>
      <c r="K44" s="19"/>
      <c r="L44" s="20"/>
      <c r="M44" s="19">
        <v>21</v>
      </c>
      <c r="N44" s="19"/>
      <c r="O44" s="19"/>
      <c r="P44" s="19"/>
      <c r="Q44" s="19"/>
      <c r="R44" s="19"/>
      <c r="S44" s="19"/>
      <c r="T44" s="20"/>
      <c r="U44" s="19">
        <f>+(M44/100)*MAX(I44,O44)-S44</f>
        <v>21</v>
      </c>
      <c r="V44" s="19"/>
      <c r="W44" s="22">
        <f>(G44-I44+U44)/G44*100</f>
        <v>52.04700000000001</v>
      </c>
      <c r="X44" s="20"/>
      <c r="Y44" s="22">
        <f>((G44-I44)/((G44-I44)+U44))*100</f>
        <v>75.50867485157646</v>
      </c>
      <c r="AA44" s="22">
        <f>(U44/((G44-I44)+U44))*100</f>
        <v>24.491325148423535</v>
      </c>
    </row>
    <row r="45" spans="1:27" ht="15.75" thickBot="1">
      <c r="A45" s="28"/>
      <c r="B45" s="28"/>
      <c r="C45" s="28"/>
      <c r="D45" s="28"/>
      <c r="E45" s="28"/>
      <c r="F45" s="28"/>
      <c r="G45" s="28"/>
      <c r="H45" s="28"/>
      <c r="I45" s="28"/>
      <c r="J45" s="28"/>
      <c r="K45" s="28"/>
      <c r="L45" s="28"/>
      <c r="M45" s="28"/>
      <c r="N45" s="28"/>
      <c r="O45" s="28"/>
      <c r="P45" s="28"/>
      <c r="Q45" s="28"/>
      <c r="R45" s="28"/>
      <c r="S45" s="28"/>
      <c r="T45" s="28"/>
      <c r="U45" s="29"/>
      <c r="V45" s="28"/>
      <c r="W45" s="28"/>
      <c r="X45" s="28"/>
      <c r="Y45" s="28"/>
      <c r="Z45" s="28"/>
      <c r="AA45" s="28"/>
    </row>
    <row r="46" ht="15">
      <c r="U46" s="4"/>
    </row>
  </sheetData>
  <sheetProtection/>
  <mergeCells count="13">
    <mergeCell ref="M5:M8"/>
    <mergeCell ref="C5:C8"/>
    <mergeCell ref="E5:E8"/>
    <mergeCell ref="G5:G8"/>
    <mergeCell ref="I5:I8"/>
    <mergeCell ref="K5:K8"/>
    <mergeCell ref="AA5:AA8"/>
    <mergeCell ref="O5:O8"/>
    <mergeCell ref="Q5:Q8"/>
    <mergeCell ref="S5:S8"/>
    <mergeCell ref="U5:U8"/>
    <mergeCell ref="W5:W8"/>
    <mergeCell ref="Y5:Y8"/>
  </mergeCells>
  <printOptions/>
  <pageMargins left="0.25" right="0.25" top="1" bottom="1" header="0.3" footer="0.3"/>
  <pageSetup fitToHeight="1" fitToWidth="1" horizontalDpi="600" verticalDpi="600" orientation="portrait" paperSize="9" scale="47"/>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Yifan Zhang</cp:lastModifiedBy>
  <cp:lastPrinted>2016-01-12T16:39:43Z</cp:lastPrinted>
  <dcterms:created xsi:type="dcterms:W3CDTF">2002-07-02T10:02:24Z</dcterms:created>
  <dcterms:modified xsi:type="dcterms:W3CDTF">2017-02-22T20:00:43Z</dcterms:modified>
  <cp:category/>
  <cp:version/>
  <cp:contentType/>
  <cp:contentStatus/>
</cp:coreProperties>
</file>